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195" windowHeight="11760" activeTab="0"/>
  </bookViews>
  <sheets>
    <sheet name="Бюджет" sheetId="1" r:id="rId1"/>
    <sheet name="Расшифровка содержание жилья" sheetId="2" r:id="rId2"/>
    <sheet name="Квартплата" sheetId="3" r:id="rId3"/>
  </sheets>
  <definedNames>
    <definedName name="_xlnm.Print_Area" localSheetId="0">'Бюджет'!$A$1:$G$103</definedName>
    <definedName name="_xlnm.Print_Area" localSheetId="2">'Квартплата'!$A$1:$L$70</definedName>
    <definedName name="_xlnm.Print_Area" localSheetId="1">'Расшифровка содержание жилья'!$A$1:$F$35</definedName>
  </definedNames>
  <calcPr fullCalcOnLoad="1"/>
</workbook>
</file>

<file path=xl/sharedStrings.xml><?xml version="1.0" encoding="utf-8"?>
<sst xmlns="http://schemas.openxmlformats.org/spreadsheetml/2006/main" count="346" uniqueCount="235">
  <si>
    <t>№ п/п</t>
  </si>
  <si>
    <t>Наименование статей</t>
  </si>
  <si>
    <t>в том числе:</t>
  </si>
  <si>
    <t>за отопление</t>
  </si>
  <si>
    <t xml:space="preserve">за электроснабжение </t>
  </si>
  <si>
    <t>остатки финансовых средств с прошлых лет</t>
  </si>
  <si>
    <t xml:space="preserve">Ежемесячные платежи собственников за коммунальные услуги, всего </t>
  </si>
  <si>
    <t>уборка мест общего пользования в доме</t>
  </si>
  <si>
    <t>уборка земельного участка, на котором расположен дом</t>
  </si>
  <si>
    <t xml:space="preserve">содержание и обслуживание лифтового хозяйства </t>
  </si>
  <si>
    <t>обслуживание внутридомовых инженерных систем электроснабжения</t>
  </si>
  <si>
    <t xml:space="preserve">Расходы, связанные с текущим ремонтом общего имущества собственников помещений в многоквартирном доме </t>
  </si>
  <si>
    <t>теплоснабжающей организацией</t>
  </si>
  <si>
    <t xml:space="preserve">организацией водопроводно-канализационного хозяйства </t>
  </si>
  <si>
    <t xml:space="preserve">электроснабжающей организацией </t>
  </si>
  <si>
    <t>Прочие расходы</t>
  </si>
  <si>
    <t>Итого расходов (1+2+3+4+5+6+7+8)</t>
  </si>
  <si>
    <t xml:space="preserve">Расходы, связанные с санитарным содержанием общего имущества собственников помещений в многоквартирном доме, включая земельный участок, на котором расположен многоквартирный дом, всего </t>
  </si>
  <si>
    <t>Расходы, связанные с капитальным ремонтом общего имущества собственников помещений в многоквартирном доме, всего</t>
  </si>
  <si>
    <t>Расходы по договорам с организациями коммунального комплекса, всего</t>
  </si>
  <si>
    <t>Месяц</t>
  </si>
  <si>
    <t>Год</t>
  </si>
  <si>
    <t>2.1</t>
  </si>
  <si>
    <t>2.2</t>
  </si>
  <si>
    <t>2.3</t>
  </si>
  <si>
    <t>2.5</t>
  </si>
  <si>
    <t>2.6</t>
  </si>
  <si>
    <t>3.1</t>
  </si>
  <si>
    <t>3.2</t>
  </si>
  <si>
    <t>3.3</t>
  </si>
  <si>
    <t>1.1</t>
  </si>
  <si>
    <t>1.2</t>
  </si>
  <si>
    <t>1.3</t>
  </si>
  <si>
    <t>6.1</t>
  </si>
  <si>
    <t>6.2</t>
  </si>
  <si>
    <t>6.3</t>
  </si>
  <si>
    <t>7.1</t>
  </si>
  <si>
    <t>7.2</t>
  </si>
  <si>
    <t>7.3</t>
  </si>
  <si>
    <t>7.4</t>
  </si>
  <si>
    <t>4.1</t>
  </si>
  <si>
    <t>4.2</t>
  </si>
  <si>
    <t xml:space="preserve">Расходы, связанные с техническим обслуживанием общего имущества собственников помещений в многоквартирном доме, всего </t>
  </si>
  <si>
    <t xml:space="preserve">Расходы, связанные с благоустройством мест общего пользования в доме и на земельном участке, на котором расположен многоквартирный дом, мероприятия по обеспечению сохранности общего имущества, безопасности и удобства проживания в доме, всего </t>
  </si>
  <si>
    <t>обслуживание антенны</t>
  </si>
  <si>
    <t>Итого доходов (1+2+3+4)</t>
  </si>
  <si>
    <t xml:space="preserve">Прочие доходы, всего </t>
  </si>
  <si>
    <t>антенна</t>
  </si>
  <si>
    <t>домофон</t>
  </si>
  <si>
    <t xml:space="preserve">Расходы, связанные с управлением МКД, всего </t>
  </si>
  <si>
    <t>всего площадь помещений</t>
  </si>
  <si>
    <t xml:space="preserve">нежилые </t>
  </si>
  <si>
    <t>содержание жилья</t>
  </si>
  <si>
    <t>дежурная служба</t>
  </si>
  <si>
    <t>с 1 кв.м.</t>
  </si>
  <si>
    <t>Расчет</t>
  </si>
  <si>
    <t>п.5</t>
  </si>
  <si>
    <t>п.6.1</t>
  </si>
  <si>
    <t>доход от сдачи в аренду общего имущества</t>
  </si>
  <si>
    <t>обслуживание внутридомовых инженерных систем водоснабжения и водоотведения, отопления</t>
  </si>
  <si>
    <t>поверка средств измерения узлов учета тепла</t>
  </si>
  <si>
    <t xml:space="preserve">Ежемесячные взносы собственников помещений (членов товарищества и не являющихся членами товарищества) за управление, содержание и ремонт общего имущества </t>
  </si>
  <si>
    <t>по факту</t>
  </si>
  <si>
    <t>ведение карточек регистрации жильцов (РИЦ)</t>
  </si>
  <si>
    <t>Ежемесячные платежи собственников по решению общего собрания собственников помещений</t>
  </si>
  <si>
    <t>расходные материалы</t>
  </si>
  <si>
    <t>1.4</t>
  </si>
  <si>
    <t>механизированная уборка снега</t>
  </si>
  <si>
    <t xml:space="preserve">вывоз твердых бытовых и крупногабаритных отходов </t>
  </si>
  <si>
    <t>2.7</t>
  </si>
  <si>
    <t>на 1 кв.м.</t>
  </si>
  <si>
    <t>Итого расходов</t>
  </si>
  <si>
    <t>№ п/п бюджета</t>
  </si>
  <si>
    <t>кол-во</t>
  </si>
  <si>
    <t>Расходы, связанные с управлением МКД</t>
  </si>
  <si>
    <t>3.4</t>
  </si>
  <si>
    <t>1.5</t>
  </si>
  <si>
    <t>дератизация, дезенфекция</t>
  </si>
  <si>
    <t>обслуживание домофона</t>
  </si>
  <si>
    <t xml:space="preserve">Примерный расчет квартплаты при утверждении </t>
  </si>
  <si>
    <t>2-х ком.кв.</t>
  </si>
  <si>
    <t xml:space="preserve">Статья </t>
  </si>
  <si>
    <t>ед-цы</t>
  </si>
  <si>
    <t>тарифы</t>
  </si>
  <si>
    <t>сумма</t>
  </si>
  <si>
    <t>Содержание жилья</t>
  </si>
  <si>
    <t>Дежурная служба</t>
  </si>
  <si>
    <t>Отопление</t>
  </si>
  <si>
    <t>ХВС</t>
  </si>
  <si>
    <t>ГВС</t>
  </si>
  <si>
    <t>Электроэнергия</t>
  </si>
  <si>
    <t>Антенна</t>
  </si>
  <si>
    <t>Домофон</t>
  </si>
  <si>
    <t>Накопления на кап.ремонт</t>
  </si>
  <si>
    <t>Всего</t>
  </si>
  <si>
    <t>3-х ком.кв.</t>
  </si>
  <si>
    <t>с аренды</t>
  </si>
  <si>
    <t>Утверждено:</t>
  </si>
  <si>
    <t>Председатель собрания</t>
  </si>
  <si>
    <t>Протокол № ____</t>
  </si>
  <si>
    <t>налог на доходы по УСН</t>
  </si>
  <si>
    <t>оплата услуг банка (за прием платежей населения, банк-клиент)</t>
  </si>
  <si>
    <t>%</t>
  </si>
  <si>
    <t>руб</t>
  </si>
  <si>
    <t>5.1.</t>
  </si>
  <si>
    <t>расходы текущего периода</t>
  </si>
  <si>
    <t>5.2.</t>
  </si>
  <si>
    <t>отчисления в фонд будущих ремонтов</t>
  </si>
  <si>
    <t>2.8</t>
  </si>
  <si>
    <t>номер ГТС</t>
  </si>
  <si>
    <t>3.5</t>
  </si>
  <si>
    <t>Решением Общего собрания членов ТСЖ</t>
  </si>
  <si>
    <t>"Аристов ключ 8"</t>
  </si>
  <si>
    <t>дежурная служба консьержей</t>
  </si>
  <si>
    <t>Водоотведение</t>
  </si>
  <si>
    <t>п.6.2</t>
  </si>
  <si>
    <t>за ГВС</t>
  </si>
  <si>
    <t>за ХВС</t>
  </si>
  <si>
    <t>п.6.3</t>
  </si>
  <si>
    <t>водоотведение</t>
  </si>
  <si>
    <t>Обслуживание светильников наружного освещения* -0,04 руб/м2</t>
  </si>
  <si>
    <t>*включается в размер платы за содержание и ремонт жилого помещения в случае оборудования дома, в котором находится жилое помещение, системами пожарной сигнализации, дымоудаления и пожаротушения; общедомовыми узлами учета тепловой энергии; бойлерными или индивидуальными тепловыми пунктами, предназначенными для обслуживания одного многоквартирного дома; светильниками наружного освещения; повысительными насосами.</t>
  </si>
  <si>
    <t>**включается в размер платы за содержание и ремонт жилого помещения для многоквартирных домов в случае, если границы земельного участка, на котором расположен многоквартирный дом, определены на основании данных государственного кадастрового учета.</t>
  </si>
  <si>
    <t>3.6</t>
  </si>
  <si>
    <t>подготовка ИТП к зиме</t>
  </si>
  <si>
    <t>Текущий ремонт</t>
  </si>
  <si>
    <t>3.7</t>
  </si>
  <si>
    <t>3.8</t>
  </si>
  <si>
    <t xml:space="preserve"> </t>
  </si>
  <si>
    <t>4.3</t>
  </si>
  <si>
    <t>плата за пользование площадкой</t>
  </si>
  <si>
    <t>п.6.3 + п.6.1</t>
  </si>
  <si>
    <t>п.7.2</t>
  </si>
  <si>
    <t>п.7.3</t>
  </si>
  <si>
    <t>п.п.1-3</t>
  </si>
  <si>
    <t>канцтовары, заправка принтера</t>
  </si>
  <si>
    <t>3.9</t>
  </si>
  <si>
    <t>3.10</t>
  </si>
  <si>
    <t>страхование опасных объектов</t>
  </si>
  <si>
    <t>освидетельствование лифтов</t>
  </si>
  <si>
    <t>за водоотведение</t>
  </si>
  <si>
    <t>22 руб с квартиры</t>
  </si>
  <si>
    <t>22 с кв.</t>
  </si>
  <si>
    <t>СПРАВОЧНО:</t>
  </si>
  <si>
    <t>2.9</t>
  </si>
  <si>
    <t>8.2</t>
  </si>
  <si>
    <t>управление МКД (организация работы персонала, снабжение ТМЦ, ведение протоколов и проведение собраний, благоустройство)</t>
  </si>
  <si>
    <t>юр.сопровождение деят-ти ТСЖ</t>
  </si>
  <si>
    <t>3.11</t>
  </si>
  <si>
    <t>рост</t>
  </si>
  <si>
    <t>обслуживание ИТП</t>
  </si>
  <si>
    <t>городской всего</t>
  </si>
  <si>
    <t>благоустройство</t>
  </si>
  <si>
    <t>в т.ч.</t>
  </si>
  <si>
    <t>начисление квартплаты, ведение бухгалтерской и налоговой отчетности, делопроизводство ТСЖ, кадровый учет</t>
  </si>
  <si>
    <t>председатель (заключение договоров, подписание актов, организация работ, ведение счета,  оплата через банк-клиент, работа с должниками, транспортные расходы, сотовая связь)</t>
  </si>
  <si>
    <t xml:space="preserve">разница </t>
  </si>
  <si>
    <t>руб/кв.м.</t>
  </si>
  <si>
    <t>в месяц с дома</t>
  </si>
  <si>
    <t>в год с дома</t>
  </si>
  <si>
    <t>разовые услуги</t>
  </si>
  <si>
    <t>5.3.</t>
  </si>
  <si>
    <t>накопления в фонде будущих ремонтов</t>
  </si>
  <si>
    <t>4.4</t>
  </si>
  <si>
    <t>остатки в фонде кап.ремонтов</t>
  </si>
  <si>
    <t>ТСЖ "Аристов ключ 8"</t>
  </si>
  <si>
    <t>ревизия деятельности ТСЖ</t>
  </si>
  <si>
    <t>с 01.07.14</t>
  </si>
  <si>
    <t>п.4</t>
  </si>
  <si>
    <t>текущий ремонт</t>
  </si>
  <si>
    <t>5.4.</t>
  </si>
  <si>
    <t>с 01.01.14г.</t>
  </si>
  <si>
    <t>Сравнение тарифов с 1 кв.м.</t>
  </si>
  <si>
    <t>1000 руб/мес</t>
  </si>
  <si>
    <t>п.7.1 без 1 этажей</t>
  </si>
  <si>
    <t>квартиры 2-10 этажи</t>
  </si>
  <si>
    <t>квартиры 1 этаж</t>
  </si>
  <si>
    <t>4.5</t>
  </si>
  <si>
    <t>65 руб с квартиры 6000 руб / 92 квартир</t>
  </si>
  <si>
    <t>65 с кв.</t>
  </si>
  <si>
    <t>дератизация, дезинсекция</t>
  </si>
  <si>
    <t>резервный фонд</t>
  </si>
  <si>
    <t>наружные светильники</t>
  </si>
  <si>
    <t>208раз*2,4м3*200руб/12мес=8320 руб/мес</t>
  </si>
  <si>
    <t>обслуживание 13086,20 руб/мес</t>
  </si>
  <si>
    <t>1 раз в год</t>
  </si>
  <si>
    <t xml:space="preserve">1,9% + 1090 руб </t>
  </si>
  <si>
    <t xml:space="preserve">за 2015 год 1% от дохода </t>
  </si>
  <si>
    <t>отчисления на спецсчет капитальный ремонт</t>
  </si>
  <si>
    <t>капитальный ремонт "спецсчет"</t>
  </si>
  <si>
    <t xml:space="preserve">канцтовары, заправка принтера,почтовые </t>
  </si>
  <si>
    <t>4470,74 руб/мес</t>
  </si>
  <si>
    <t>по факту (4мес*2раза*3часа*1200руб+вывоз снега 4мес*1раз*1500руб)</t>
  </si>
  <si>
    <t>корректировка отопления за 2014 год</t>
  </si>
  <si>
    <t>Бюджет доходов ТСЖ "Аристов ключ 8" г.Ижевска на 2015 год</t>
  </si>
  <si>
    <t>Бюджет расходов ТСЖ "Аристов ключ 8" г.Ижевска на 2015 год</t>
  </si>
  <si>
    <t>от  "___" _________2015 года</t>
  </si>
  <si>
    <t>Расходы на содержание жилья ТСЖ "Аристов ключ 8" на 2015 год.</t>
  </si>
  <si>
    <t>бюджета ТСЖ "Аристов ключ  8" на 2015 год.</t>
  </si>
  <si>
    <t>с 01.07.14 г.</t>
  </si>
  <si>
    <t>с 01.01.15 г.</t>
  </si>
  <si>
    <t>7310 руб/мес (6360 руб/мес без НДФЛ) + 20% отч + 0,2% НС.</t>
  </si>
  <si>
    <t>электронная отчетность Тензор</t>
  </si>
  <si>
    <t>8828 руб/мес (7680 руб/мес без НДФЛ) + 20% отч + 0,2% НС</t>
  </si>
  <si>
    <t>1500 руб в полугодие дератизация +1500 руб дезинсекция</t>
  </si>
  <si>
    <t>18104 руб/мес (15750 зп без НДФЛ) + 20% отч + 0,2% НС + 1000 руб ГСМ + 500 руб сот.связь</t>
  </si>
  <si>
    <t>7469 руб (6500 руб без НДФЛ)</t>
  </si>
  <si>
    <t>управление МКД (составление бюджета, организация работы персонала, снабжение ТМЦ, ведение протоколов и проведение собраний, благоустройство, оформление документов, обновление сайта)</t>
  </si>
  <si>
    <t>аудит деятельности</t>
  </si>
  <si>
    <t>7,3 руб с кв.м.</t>
  </si>
  <si>
    <t>3,2 руб с кв.м.</t>
  </si>
  <si>
    <t xml:space="preserve">1600 Гкал </t>
  </si>
  <si>
    <t xml:space="preserve">270000 кВт </t>
  </si>
  <si>
    <t>17000-7000=10000</t>
  </si>
  <si>
    <t xml:space="preserve">17000 м3 </t>
  </si>
  <si>
    <t>626руб (545 руб без НДФЛ) * 365 дней * 4 под + 10% надбавка старшей + 20% отч + 0,2% НС.</t>
  </si>
  <si>
    <t>праздники (новогодняя игрушка), субботники, озеленение (рассада), благоустройство территории (песок, чернозем)</t>
  </si>
  <si>
    <t>с 01.01.15</t>
  </si>
  <si>
    <t>доначисление</t>
  </si>
  <si>
    <t>8.3</t>
  </si>
  <si>
    <t>с 01.01.15г.</t>
  </si>
  <si>
    <t>рост 15г./14г.</t>
  </si>
  <si>
    <t>узлы учета</t>
  </si>
  <si>
    <t>начисление квартплаты, ведение бухгалтерской и налоговой отчетности, делопроизводство ТСЖ, кадровый учет, начисление и ведение отчетности по капитальному ремонту</t>
  </si>
  <si>
    <t>12920 зп (11240 зп без НДФЛ) + 20% отч + 0,2% НС.</t>
  </si>
  <si>
    <t>3.12</t>
  </si>
  <si>
    <t>оплата услуг банка (за прием платежей по капитальному ремонту от населения)</t>
  </si>
  <si>
    <t>собрано в 2012-2015 (январь) г.г.</t>
  </si>
  <si>
    <t>Итого 18,63+0,92+2,29+0,04+0,08=21,96 руб/м2</t>
  </si>
  <si>
    <t>Благоустройство территории** - 0,08 руб/м2</t>
  </si>
  <si>
    <t>Техническое обслуживание индивидуальных тепловых пунктов или бойлерных горячего водоснабжения, расположенных в многоквартирном доме* - 2,29 руб/м2</t>
  </si>
  <si>
    <t>Обслуживание общедомовых узлов учета холодного водоснабжения * - 0,22руб/м2</t>
  </si>
  <si>
    <t>Обслуживание и ремонт общедомовых узлов учета тепловой энергии* - 0,70руб/м2</t>
  </si>
  <si>
    <t>Согласно постановления Администрации г.Ижевска от 26.06.2014г. №705</t>
  </si>
  <si>
    <t>Содержание и ремонт жилого помещения для нанимателей по договорам социального найма и договорам найма жилых помещений муниципального жилищного фонда и для собственников, выбравших способ непосредственного управления многоквартирным домом, но не принявших решение об установлении размера платы за содержание и ремонт жилого помещения - 18,63 руб/м2, в т.ч.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</si>
</sst>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00"/>
    <numFmt numFmtId="171" formatCode="0.0000"/>
    <numFmt numFmtId="172" formatCode="0.000"/>
    <numFmt numFmtId="173" formatCode="0.00000000"/>
    <numFmt numFmtId="174" formatCode="0.000000000"/>
    <numFmt numFmtId="175" formatCode="0.0000000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  <numFmt numFmtId="179" formatCode="#,##0.0"/>
    <numFmt numFmtId="180" formatCode="0.0000000000"/>
    <numFmt numFmtId="181" formatCode="#,##0.00_ ;\-#,##0.00\ "/>
    <numFmt numFmtId="182" formatCode="0.0%"/>
    <numFmt numFmtId="183" formatCode="#,##0.00;[Red]#,##0.00"/>
    <numFmt numFmtId="184" formatCode="dd/mm/yy;@"/>
    <numFmt numFmtId="185" formatCode="#,##0.00;[Red]\-#,##0.00"/>
    <numFmt numFmtId="186" formatCode="0.00;[Red]\-0.00"/>
    <numFmt numFmtId="187" formatCode="_-* #,##0.000_р_._-;\-* #,##0.000_р_._-;_-* &quot;-&quot;??_р_._-;_-@_-"/>
  </numFmts>
  <fonts count="49">
    <font>
      <sz val="12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10" xfId="56" applyFont="1" applyBorder="1" applyAlignment="1">
      <alignment vertical="top" wrapText="1"/>
      <protection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vertical="top"/>
    </xf>
    <xf numFmtId="4" fontId="7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43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69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5" fillId="0" borderId="10" xfId="69" applyNumberFormat="1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8" fillId="0" borderId="0" xfId="0" applyNumberFormat="1" applyFont="1" applyFill="1" applyAlignment="1">
      <alignment vertical="top"/>
    </xf>
    <xf numFmtId="4" fontId="7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0" fontId="7" fillId="33" borderId="10" xfId="56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1" fontId="8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9" fontId="10" fillId="0" borderId="0" xfId="62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" fontId="5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8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69" applyNumberFormat="1" applyFont="1" applyFill="1" applyBorder="1" applyAlignment="1">
      <alignment horizontal="right" vertical="top" wrapText="1"/>
    </xf>
    <xf numFmtId="4" fontId="7" fillId="33" borderId="10" xfId="69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top" wrapText="1"/>
    </xf>
    <xf numFmtId="168" fontId="7" fillId="33" borderId="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3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 indent="3"/>
    </xf>
    <xf numFmtId="0" fontId="7" fillId="33" borderId="10" xfId="56" applyFont="1" applyFill="1" applyBorder="1" applyAlignment="1">
      <alignment horizontal="left" vertical="top" wrapText="1"/>
      <protection/>
    </xf>
    <xf numFmtId="4" fontId="7" fillId="0" borderId="11" xfId="0" applyNumberFormat="1" applyFont="1" applyFill="1" applyBorder="1" applyAlignment="1">
      <alignment vertical="top"/>
    </xf>
    <xf numFmtId="4" fontId="7" fillId="0" borderId="11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/>
    </xf>
    <xf numFmtId="1" fontId="0" fillId="0" borderId="10" xfId="61" applyNumberFormat="1" applyFont="1" applyBorder="1" applyAlignment="1">
      <alignment/>
    </xf>
    <xf numFmtId="9" fontId="0" fillId="0" borderId="10" xfId="62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9" fontId="10" fillId="0" borderId="0" xfId="61" applyFont="1" applyAlignment="1">
      <alignment horizontal="center"/>
    </xf>
    <xf numFmtId="9" fontId="0" fillId="0" borderId="0" xfId="61" applyFont="1" applyAlignment="1">
      <alignment horizontal="center"/>
    </xf>
    <xf numFmtId="4" fontId="7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71" fontId="7" fillId="0" borderId="0" xfId="0" applyNumberFormat="1" applyFont="1" applyAlignment="1">
      <alignment vertical="top"/>
    </xf>
    <xf numFmtId="0" fontId="48" fillId="0" borderId="0" xfId="0" applyFont="1" applyAlignment="1">
      <alignment vertical="top"/>
    </xf>
    <xf numFmtId="0" fontId="9" fillId="0" borderId="0" xfId="0" applyFont="1" applyFill="1" applyAlignment="1">
      <alignment horizontal="center"/>
    </xf>
    <xf numFmtId="9" fontId="10" fillId="0" borderId="0" xfId="61" applyNumberFormat="1" applyFont="1" applyAlignment="1">
      <alignment horizontal="center"/>
    </xf>
    <xf numFmtId="9" fontId="7" fillId="33" borderId="10" xfId="56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top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34" borderId="0" xfId="0" applyFont="1" applyFill="1" applyAlignment="1">
      <alignment horizontal="left" vertical="top" wrapText="1"/>
    </xf>
    <xf numFmtId="0" fontId="0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ожения к тарифа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Процентный 3" xfId="64"/>
    <cellStyle name="Процентный 3 2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75" zoomScaleNormal="75" zoomScaleSheetLayoutView="70" zoomScalePageLayoutView="0" workbookViewId="0" topLeftCell="A1">
      <pane xSplit="2" ySplit="13" topLeftCell="C8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91" sqref="J91"/>
    </sheetView>
  </sheetViews>
  <sheetFormatPr defaultColWidth="9.00390625" defaultRowHeight="15.75" outlineLevelRow="1"/>
  <cols>
    <col min="1" max="1" width="7.25390625" style="3" bestFit="1" customWidth="1"/>
    <col min="2" max="2" width="53.25390625" style="2" customWidth="1"/>
    <col min="3" max="3" width="39.125" style="2" customWidth="1"/>
    <col min="4" max="4" width="16.375" style="65" customWidth="1"/>
    <col min="5" max="5" width="15.75390625" style="4" bestFit="1" customWidth="1"/>
    <col min="6" max="6" width="12.125" style="2" bestFit="1" customWidth="1"/>
    <col min="7" max="7" width="11.25390625" style="2" hidden="1" customWidth="1"/>
    <col min="8" max="8" width="14.875" style="2" customWidth="1"/>
    <col min="9" max="9" width="15.875" style="2" bestFit="1" customWidth="1"/>
    <col min="10" max="10" width="12.625" style="2" customWidth="1"/>
    <col min="11" max="11" width="11.375" style="2" customWidth="1" collapsed="1"/>
    <col min="12" max="16384" width="9.00390625" style="2" customWidth="1"/>
  </cols>
  <sheetData>
    <row r="1" spans="1:5" s="6" customFormat="1" ht="18" outlineLevel="1">
      <c r="A1" s="47"/>
      <c r="C1" s="58" t="s">
        <v>97</v>
      </c>
      <c r="D1" s="8"/>
      <c r="E1" s="8"/>
    </row>
    <row r="2" spans="1:5" s="6" customFormat="1" ht="18" outlineLevel="1">
      <c r="A2" s="47"/>
      <c r="C2" s="59" t="s">
        <v>111</v>
      </c>
      <c r="D2" s="8"/>
      <c r="E2" s="8"/>
    </row>
    <row r="3" spans="1:5" s="6" customFormat="1" ht="18" outlineLevel="1">
      <c r="A3" s="47"/>
      <c r="C3" s="59" t="s">
        <v>112</v>
      </c>
      <c r="D3" s="8"/>
      <c r="E3" s="8"/>
    </row>
    <row r="4" spans="1:5" s="6" customFormat="1" ht="18" outlineLevel="1">
      <c r="A4" s="47"/>
      <c r="C4" s="59"/>
      <c r="D4" s="8"/>
      <c r="E4" s="8"/>
    </row>
    <row r="5" spans="1:5" s="6" customFormat="1" ht="18" outlineLevel="1">
      <c r="A5" s="47"/>
      <c r="C5" s="59" t="s">
        <v>99</v>
      </c>
      <c r="D5" s="8"/>
      <c r="E5" s="8"/>
    </row>
    <row r="6" spans="1:5" s="6" customFormat="1" ht="18" outlineLevel="1">
      <c r="A6" s="47"/>
      <c r="C6" s="59" t="s">
        <v>196</v>
      </c>
      <c r="D6" s="8"/>
      <c r="E6" s="8"/>
    </row>
    <row r="7" spans="1:5" s="6" customFormat="1" ht="18" outlineLevel="1">
      <c r="A7" s="47"/>
      <c r="C7" s="59" t="s">
        <v>98</v>
      </c>
      <c r="D7" s="8"/>
      <c r="E7" s="8"/>
    </row>
    <row r="8" spans="1:5" s="6" customFormat="1" ht="18" outlineLevel="1">
      <c r="A8" s="47"/>
      <c r="D8" s="8"/>
      <c r="E8" s="8"/>
    </row>
    <row r="9" spans="4:6" ht="18">
      <c r="D9" s="8"/>
      <c r="F9" s="46"/>
    </row>
    <row r="10" spans="3:4" ht="18">
      <c r="C10" s="4"/>
      <c r="D10" s="8"/>
    </row>
    <row r="11" spans="2:6" s="6" customFormat="1" ht="18">
      <c r="B11" s="7" t="s">
        <v>195</v>
      </c>
      <c r="C11" s="2"/>
      <c r="D11" s="8"/>
      <c r="E11" s="8"/>
      <c r="F11" s="5"/>
    </row>
    <row r="12" spans="5:6" ht="15">
      <c r="E12" s="27">
        <v>12</v>
      </c>
      <c r="F12" s="5"/>
    </row>
    <row r="13" spans="1:6" ht="15.75">
      <c r="A13" s="9" t="s">
        <v>0</v>
      </c>
      <c r="B13" s="10" t="s">
        <v>1</v>
      </c>
      <c r="C13" s="10" t="s">
        <v>55</v>
      </c>
      <c r="D13" s="66" t="s">
        <v>20</v>
      </c>
      <c r="E13" s="10" t="s">
        <v>21</v>
      </c>
      <c r="F13" s="10" t="s">
        <v>70</v>
      </c>
    </row>
    <row r="14" spans="1:6" s="13" customFormat="1" ht="78.75">
      <c r="A14" s="9">
        <v>1</v>
      </c>
      <c r="B14" s="11" t="s">
        <v>17</v>
      </c>
      <c r="C14" s="14"/>
      <c r="D14" s="42">
        <f>SUM(D16:D20)</f>
        <v>29168.239999999998</v>
      </c>
      <c r="E14" s="12">
        <f>SUM(E16:E20)</f>
        <v>350018.88</v>
      </c>
      <c r="F14" s="12">
        <f>D14/$D$99</f>
        <v>3.371154490713452</v>
      </c>
    </row>
    <row r="15" spans="1:6" ht="15.75" outlineLevel="1">
      <c r="A15" s="15"/>
      <c r="B15" s="16" t="s">
        <v>2</v>
      </c>
      <c r="C15" s="18"/>
      <c r="D15" s="21"/>
      <c r="E15" s="17"/>
      <c r="F15" s="17"/>
    </row>
    <row r="16" spans="1:6" ht="30" outlineLevel="1">
      <c r="A16" s="19" t="s">
        <v>30</v>
      </c>
      <c r="B16" s="16" t="s">
        <v>68</v>
      </c>
      <c r="C16" s="1" t="s">
        <v>183</v>
      </c>
      <c r="D16" s="21">
        <f>208*2.4*200/12</f>
        <v>8320</v>
      </c>
      <c r="E16" s="17">
        <f>D16*$E$12</f>
        <v>99840</v>
      </c>
      <c r="F16" s="17">
        <f>D16/$D$99</f>
        <v>0.9615940270217168</v>
      </c>
    </row>
    <row r="17" spans="1:6" ht="30" outlineLevel="1">
      <c r="A17" s="19" t="s">
        <v>31</v>
      </c>
      <c r="B17" s="16" t="s">
        <v>7</v>
      </c>
      <c r="C17" s="1" t="s">
        <v>201</v>
      </c>
      <c r="D17" s="21">
        <f>7310*(100+20+0.2)%</f>
        <v>8786.619999999999</v>
      </c>
      <c r="E17" s="17">
        <f>D17*$E$12</f>
        <v>105439.43999999999</v>
      </c>
      <c r="F17" s="17">
        <f>D17/$D$99</f>
        <v>1.0155241958785526</v>
      </c>
    </row>
    <row r="18" spans="1:6" s="41" customFormat="1" ht="30" outlineLevel="1">
      <c r="A18" s="19" t="s">
        <v>32</v>
      </c>
      <c r="B18" s="16" t="s">
        <v>8</v>
      </c>
      <c r="C18" s="1" t="s">
        <v>201</v>
      </c>
      <c r="D18" s="21">
        <v>8786.62</v>
      </c>
      <c r="E18" s="21">
        <f>7310*12*(100+20+0.2)%</f>
        <v>105439.44</v>
      </c>
      <c r="F18" s="21">
        <f>D18/$D$99</f>
        <v>1.0155241958785528</v>
      </c>
    </row>
    <row r="19" spans="1:6" s="41" customFormat="1" ht="45" outlineLevel="1">
      <c r="A19" s="19" t="s">
        <v>66</v>
      </c>
      <c r="B19" s="16" t="s">
        <v>67</v>
      </c>
      <c r="C19" s="1" t="s">
        <v>192</v>
      </c>
      <c r="D19" s="21">
        <f>E19/$E$12</f>
        <v>2900</v>
      </c>
      <c r="E19" s="17">
        <f>4*2*3*1200+4*1*1500</f>
        <v>34800</v>
      </c>
      <c r="F19" s="17">
        <f>D19/$D$99</f>
        <v>0.33517099499555036</v>
      </c>
    </row>
    <row r="20" spans="1:6" s="41" customFormat="1" ht="30" outlineLevel="1">
      <c r="A20" s="19" t="s">
        <v>76</v>
      </c>
      <c r="B20" s="16" t="s">
        <v>180</v>
      </c>
      <c r="C20" s="1" t="s">
        <v>204</v>
      </c>
      <c r="D20" s="21">
        <f>E20/$E$12</f>
        <v>375</v>
      </c>
      <c r="E20" s="17">
        <v>4500</v>
      </c>
      <c r="F20" s="17">
        <f>D20/$D$99</f>
        <v>0.043341076939079785</v>
      </c>
    </row>
    <row r="21" spans="1:6" s="13" customFormat="1" ht="63">
      <c r="A21" s="9">
        <v>2</v>
      </c>
      <c r="B21" s="11" t="s">
        <v>42</v>
      </c>
      <c r="C21" s="14"/>
      <c r="D21" s="12">
        <f>SUM(D23:D30)</f>
        <v>40142.04533333333</v>
      </c>
      <c r="E21" s="12">
        <f>SUM(E23:E30)</f>
        <v>481704.544</v>
      </c>
      <c r="F21" s="12">
        <f>D21/$D$99-0.01</f>
        <v>4.629465267424076</v>
      </c>
    </row>
    <row r="22" spans="1:6" ht="15.75" outlineLevel="1">
      <c r="A22" s="15"/>
      <c r="B22" s="16" t="s">
        <v>2</v>
      </c>
      <c r="C22" s="18"/>
      <c r="D22" s="21"/>
      <c r="E22" s="17"/>
      <c r="F22" s="17"/>
    </row>
    <row r="23" spans="1:6" ht="15" outlineLevel="1">
      <c r="A23" s="19" t="s">
        <v>22</v>
      </c>
      <c r="B23" s="16" t="s">
        <v>9</v>
      </c>
      <c r="C23" s="43" t="s">
        <v>184</v>
      </c>
      <c r="D23" s="21">
        <v>13086.2</v>
      </c>
      <c r="E23" s="17">
        <f>D23*$E$12</f>
        <v>157034.40000000002</v>
      </c>
      <c r="F23" s="17">
        <f aca="true" t="shared" si="0" ref="F23:F31">D23/$D$99</f>
        <v>1.5124533361071624</v>
      </c>
    </row>
    <row r="24" spans="1:6" ht="15" outlineLevel="1">
      <c r="A24" s="19" t="s">
        <v>23</v>
      </c>
      <c r="B24" s="16" t="s">
        <v>138</v>
      </c>
      <c r="C24" s="43" t="s">
        <v>62</v>
      </c>
      <c r="D24" s="21">
        <f>E24/$E$12</f>
        <v>291.6666666666667</v>
      </c>
      <c r="E24" s="17">
        <v>3500</v>
      </c>
      <c r="F24" s="17">
        <f t="shared" si="0"/>
        <v>0.033709726508173166</v>
      </c>
    </row>
    <row r="25" spans="1:6" ht="15" outlineLevel="1">
      <c r="A25" s="19" t="s">
        <v>24</v>
      </c>
      <c r="B25" s="16" t="s">
        <v>139</v>
      </c>
      <c r="C25" s="43" t="s">
        <v>62</v>
      </c>
      <c r="D25" s="21">
        <f>E25/$E$12</f>
        <v>1125</v>
      </c>
      <c r="E25" s="17">
        <v>13500</v>
      </c>
      <c r="F25" s="17">
        <f t="shared" si="0"/>
        <v>0.13002323081723935</v>
      </c>
    </row>
    <row r="26" spans="1:6" ht="30" outlineLevel="1">
      <c r="A26" s="19" t="s">
        <v>25</v>
      </c>
      <c r="B26" s="16" t="s">
        <v>59</v>
      </c>
      <c r="C26" s="1" t="s">
        <v>203</v>
      </c>
      <c r="D26" s="21">
        <f>8828*(100+20+0.2)%</f>
        <v>10611.256</v>
      </c>
      <c r="E26" s="17">
        <f>D26*$E$12</f>
        <v>127335.07199999999</v>
      </c>
      <c r="F26" s="17">
        <f t="shared" si="0"/>
        <v>1.2264087005767252</v>
      </c>
    </row>
    <row r="27" spans="1:6" ht="30" outlineLevel="1">
      <c r="A27" s="19" t="s">
        <v>26</v>
      </c>
      <c r="B27" s="16" t="s">
        <v>10</v>
      </c>
      <c r="C27" s="1" t="s">
        <v>203</v>
      </c>
      <c r="D27" s="21">
        <f>8828*(100+20+0.2)%</f>
        <v>10611.256</v>
      </c>
      <c r="E27" s="17">
        <f>D27*$E$12</f>
        <v>127335.07199999999</v>
      </c>
      <c r="F27" s="17">
        <f t="shared" si="0"/>
        <v>1.2264087005767252</v>
      </c>
    </row>
    <row r="28" spans="1:9" ht="15" outlineLevel="1">
      <c r="A28" s="19" t="s">
        <v>69</v>
      </c>
      <c r="B28" s="16" t="s">
        <v>60</v>
      </c>
      <c r="C28" s="18" t="s">
        <v>62</v>
      </c>
      <c r="D28" s="21">
        <f>E28/E12</f>
        <v>1500</v>
      </c>
      <c r="E28" s="17">
        <v>18000</v>
      </c>
      <c r="F28" s="17">
        <f t="shared" si="0"/>
        <v>0.17336430775631914</v>
      </c>
      <c r="I28" s="105"/>
    </row>
    <row r="29" spans="1:6" ht="15" outlineLevel="1">
      <c r="A29" s="19" t="s">
        <v>108</v>
      </c>
      <c r="B29" s="16" t="s">
        <v>65</v>
      </c>
      <c r="C29" s="18" t="s">
        <v>62</v>
      </c>
      <c r="D29" s="21">
        <v>1500</v>
      </c>
      <c r="E29" s="17">
        <f>D29*$E$12</f>
        <v>18000</v>
      </c>
      <c r="F29" s="17">
        <f t="shared" si="0"/>
        <v>0.17336430775631914</v>
      </c>
    </row>
    <row r="30" spans="1:6" ht="15" outlineLevel="1">
      <c r="A30" s="19" t="s">
        <v>144</v>
      </c>
      <c r="B30" s="16" t="s">
        <v>124</v>
      </c>
      <c r="C30" s="57" t="s">
        <v>62</v>
      </c>
      <c r="D30" s="21">
        <f>E30/$E$12</f>
        <v>1416.6666666666667</v>
      </c>
      <c r="E30" s="17">
        <v>17000</v>
      </c>
      <c r="F30" s="17">
        <f t="shared" si="0"/>
        <v>0.16373295732541254</v>
      </c>
    </row>
    <row r="31" spans="1:6" s="13" customFormat="1" ht="15.75">
      <c r="A31" s="9">
        <v>3</v>
      </c>
      <c r="B31" s="11" t="s">
        <v>49</v>
      </c>
      <c r="C31" s="18"/>
      <c r="D31" s="42">
        <f>SUM(D33:D44)</f>
        <v>73238.49046666664</v>
      </c>
      <c r="E31" s="42">
        <f>SUM(E33:E44)</f>
        <v>878861.8856</v>
      </c>
      <c r="F31" s="42">
        <f t="shared" si="0"/>
        <v>8.46462680058096</v>
      </c>
    </row>
    <row r="32" spans="1:6" ht="15.75" outlineLevel="1">
      <c r="A32" s="9"/>
      <c r="B32" s="16" t="s">
        <v>2</v>
      </c>
      <c r="C32" s="14"/>
      <c r="D32" s="21"/>
      <c r="E32" s="17"/>
      <c r="F32" s="17"/>
    </row>
    <row r="33" spans="1:6" ht="60" outlineLevel="1">
      <c r="A33" s="19" t="s">
        <v>27</v>
      </c>
      <c r="B33" s="16" t="s">
        <v>155</v>
      </c>
      <c r="C33" s="43" t="s">
        <v>205</v>
      </c>
      <c r="D33" s="21">
        <f>18104*(100+20+0.2)%+1000+500</f>
        <v>23261.007999999998</v>
      </c>
      <c r="E33" s="17">
        <f aca="true" t="shared" si="1" ref="E33:E43">D33*$E$12</f>
        <v>279132.09599999996</v>
      </c>
      <c r="F33" s="17">
        <f aca="true" t="shared" si="2" ref="F33:F46">D33/$D$99</f>
        <v>2.6884190330894677</v>
      </c>
    </row>
    <row r="34" spans="1:6" ht="60" outlineLevel="1">
      <c r="A34" s="19" t="s">
        <v>28</v>
      </c>
      <c r="B34" s="16" t="s">
        <v>207</v>
      </c>
      <c r="C34" s="43" t="s">
        <v>206</v>
      </c>
      <c r="D34" s="21">
        <f>1149*6+575</f>
        <v>7469</v>
      </c>
      <c r="E34" s="17">
        <f t="shared" si="1"/>
        <v>89628</v>
      </c>
      <c r="F34" s="17">
        <f t="shared" si="2"/>
        <v>0.8632386764212985</v>
      </c>
    </row>
    <row r="35" spans="1:6" ht="15" outlineLevel="1">
      <c r="A35" s="19" t="s">
        <v>29</v>
      </c>
      <c r="B35" s="16" t="s">
        <v>202</v>
      </c>
      <c r="C35" s="43" t="s">
        <v>185</v>
      </c>
      <c r="D35" s="21">
        <f>E35/$E$12</f>
        <v>208.33333333333334</v>
      </c>
      <c r="E35" s="17">
        <v>2500</v>
      </c>
      <c r="F35" s="17">
        <f t="shared" si="2"/>
        <v>0.02407837607726655</v>
      </c>
    </row>
    <row r="36" spans="1:6" ht="15" outlineLevel="1">
      <c r="A36" s="19" t="s">
        <v>75</v>
      </c>
      <c r="B36" s="16" t="s">
        <v>190</v>
      </c>
      <c r="C36" s="43" t="s">
        <v>173</v>
      </c>
      <c r="D36" s="21">
        <v>1000</v>
      </c>
      <c r="E36" s="17">
        <f>D36*$E$12</f>
        <v>12000</v>
      </c>
      <c r="F36" s="17">
        <f t="shared" si="2"/>
        <v>0.11557620517087942</v>
      </c>
    </row>
    <row r="37" spans="1:6" ht="15" outlineLevel="1">
      <c r="A37" s="19" t="s">
        <v>110</v>
      </c>
      <c r="B37" s="16" t="s">
        <v>208</v>
      </c>
      <c r="C37" s="43" t="s">
        <v>185</v>
      </c>
      <c r="D37" s="21">
        <f>E37/$E$12</f>
        <v>1666.6666666666667</v>
      </c>
      <c r="E37" s="17">
        <v>20000</v>
      </c>
      <c r="F37" s="17">
        <f t="shared" si="2"/>
        <v>0.1926270086181324</v>
      </c>
    </row>
    <row r="38" spans="1:6" ht="15" outlineLevel="1">
      <c r="A38" s="19" t="s">
        <v>123</v>
      </c>
      <c r="B38" s="16" t="s">
        <v>147</v>
      </c>
      <c r="C38" s="43" t="s">
        <v>160</v>
      </c>
      <c r="D38" s="21">
        <f>E38/$E$12</f>
        <v>1666.6666666666667</v>
      </c>
      <c r="E38" s="17">
        <v>20000</v>
      </c>
      <c r="F38" s="17">
        <f t="shared" si="2"/>
        <v>0.1926270086181324</v>
      </c>
    </row>
    <row r="39" spans="1:6" ht="60" outlineLevel="1">
      <c r="A39" s="19" t="s">
        <v>126</v>
      </c>
      <c r="B39" s="16" t="s">
        <v>223</v>
      </c>
      <c r="C39" s="1" t="s">
        <v>224</v>
      </c>
      <c r="D39" s="21">
        <f>12920*(100+20+0.2)%</f>
        <v>15529.84</v>
      </c>
      <c r="E39" s="17">
        <f t="shared" si="1"/>
        <v>186358.08000000002</v>
      </c>
      <c r="F39" s="17">
        <f t="shared" si="2"/>
        <v>1.7948799741109303</v>
      </c>
    </row>
    <row r="40" spans="1:8" ht="15" outlineLevel="1">
      <c r="A40" s="19" t="s">
        <v>127</v>
      </c>
      <c r="B40" s="16" t="s">
        <v>63</v>
      </c>
      <c r="C40" s="18" t="s">
        <v>191</v>
      </c>
      <c r="D40" s="21">
        <v>4470.74</v>
      </c>
      <c r="E40" s="17">
        <f t="shared" si="1"/>
        <v>53648.88</v>
      </c>
      <c r="F40" s="17">
        <f t="shared" si="2"/>
        <v>0.5167111635056575</v>
      </c>
      <c r="H40" s="106"/>
    </row>
    <row r="41" spans="1:6" ht="30" outlineLevel="1">
      <c r="A41" s="19" t="s">
        <v>136</v>
      </c>
      <c r="B41" s="22" t="s">
        <v>101</v>
      </c>
      <c r="C41" s="43" t="s">
        <v>186</v>
      </c>
      <c r="D41" s="21">
        <f>(590000-63000)*1.9%+1090</f>
        <v>11103</v>
      </c>
      <c r="E41" s="17">
        <f>D41*$E$12</f>
        <v>133236</v>
      </c>
      <c r="F41" s="17">
        <f t="shared" si="2"/>
        <v>1.2832426060122744</v>
      </c>
    </row>
    <row r="42" spans="1:6" ht="30" outlineLevel="1">
      <c r="A42" s="19" t="s">
        <v>137</v>
      </c>
      <c r="B42" s="22" t="s">
        <v>226</v>
      </c>
      <c r="C42" s="109">
        <v>0.02</v>
      </c>
      <c r="D42" s="21">
        <f>63161.79*2%</f>
        <v>1263.2358000000002</v>
      </c>
      <c r="E42" s="17">
        <f>D42*$E$12</f>
        <v>15158.829600000001</v>
      </c>
      <c r="F42" s="17">
        <f t="shared" si="2"/>
        <v>0.14600000000000002</v>
      </c>
    </row>
    <row r="43" spans="1:6" ht="15" outlineLevel="1">
      <c r="A43" s="19" t="s">
        <v>148</v>
      </c>
      <c r="B43" s="16" t="s">
        <v>109</v>
      </c>
      <c r="C43" s="18" t="s">
        <v>62</v>
      </c>
      <c r="D43" s="21">
        <v>400</v>
      </c>
      <c r="E43" s="17">
        <f t="shared" si="1"/>
        <v>4800</v>
      </c>
      <c r="F43" s="17">
        <f t="shared" si="2"/>
        <v>0.04623048206835177</v>
      </c>
    </row>
    <row r="44" spans="1:6" ht="15" outlineLevel="1">
      <c r="A44" s="19" t="s">
        <v>225</v>
      </c>
      <c r="B44" s="22" t="s">
        <v>100</v>
      </c>
      <c r="C44" s="43" t="s">
        <v>187</v>
      </c>
      <c r="D44" s="21">
        <f>E44/$E$12</f>
        <v>5200</v>
      </c>
      <c r="E44" s="17">
        <f>(7000000-760000)*1%</f>
        <v>62400</v>
      </c>
      <c r="F44" s="17">
        <f t="shared" si="2"/>
        <v>0.600996266888573</v>
      </c>
    </row>
    <row r="45" spans="1:6" s="13" customFormat="1" ht="47.25">
      <c r="A45" s="9">
        <v>4</v>
      </c>
      <c r="B45" s="11" t="s">
        <v>11</v>
      </c>
      <c r="C45" s="57" t="s">
        <v>210</v>
      </c>
      <c r="D45" s="42">
        <f>3.2*D99</f>
        <v>27687.36</v>
      </c>
      <c r="E45" s="12">
        <f>D45*$E$12</f>
        <v>332248.32</v>
      </c>
      <c r="F45" s="12">
        <f t="shared" si="2"/>
        <v>3.2</v>
      </c>
    </row>
    <row r="46" spans="1:6" s="13" customFormat="1" ht="47.25">
      <c r="A46" s="9">
        <v>5</v>
      </c>
      <c r="B46" s="11" t="s">
        <v>18</v>
      </c>
      <c r="C46" s="57"/>
      <c r="D46" s="42">
        <f>SUM(D48:D51)</f>
        <v>71166.20499999999</v>
      </c>
      <c r="E46" s="42">
        <f>SUM(E48:E51)</f>
        <v>790832.6699999999</v>
      </c>
      <c r="F46" s="12">
        <f t="shared" si="2"/>
        <v>8.225119910312864</v>
      </c>
    </row>
    <row r="47" spans="1:6" ht="15.75" outlineLevel="1">
      <c r="A47" s="62"/>
      <c r="B47" s="16" t="s">
        <v>2</v>
      </c>
      <c r="C47" s="57"/>
      <c r="D47" s="21"/>
      <c r="E47" s="17"/>
      <c r="F47" s="12"/>
    </row>
    <row r="48" spans="1:6" ht="15" outlineLevel="1">
      <c r="A48" s="62" t="s">
        <v>104</v>
      </c>
      <c r="B48" s="22" t="s">
        <v>105</v>
      </c>
      <c r="C48" s="57"/>
      <c r="D48" s="21">
        <v>0</v>
      </c>
      <c r="E48" s="17">
        <v>0</v>
      </c>
      <c r="F48" s="17">
        <f>D48/$D$99</f>
        <v>0</v>
      </c>
    </row>
    <row r="49" spans="1:6" ht="15" outlineLevel="1">
      <c r="A49" s="62" t="s">
        <v>106</v>
      </c>
      <c r="B49" s="22" t="s">
        <v>107</v>
      </c>
      <c r="C49" s="57"/>
      <c r="D49" s="21">
        <v>0</v>
      </c>
      <c r="E49" s="17">
        <f>D49*$E$12</f>
        <v>0</v>
      </c>
      <c r="F49" s="17">
        <f>D49/$D$99</f>
        <v>0</v>
      </c>
    </row>
    <row r="50" spans="1:6" ht="15" outlineLevel="1">
      <c r="A50" s="62" t="s">
        <v>161</v>
      </c>
      <c r="B50" s="22" t="s">
        <v>162</v>
      </c>
      <c r="C50" s="57" t="s">
        <v>227</v>
      </c>
      <c r="D50" s="21">
        <f>E50/$E$12</f>
        <v>8004.415</v>
      </c>
      <c r="E50" s="17">
        <f>E93</f>
        <v>96052.98</v>
      </c>
      <c r="F50" s="17">
        <v>0.9</v>
      </c>
    </row>
    <row r="51" spans="1:6" ht="15" outlineLevel="1">
      <c r="A51" s="62" t="s">
        <v>170</v>
      </c>
      <c r="B51" s="22" t="s">
        <v>188</v>
      </c>
      <c r="C51" s="57" t="s">
        <v>209</v>
      </c>
      <c r="D51" s="21">
        <f>7.3*D99</f>
        <v>63161.78999999999</v>
      </c>
      <c r="E51" s="17">
        <f>D51*11</f>
        <v>694779.69</v>
      </c>
      <c r="F51" s="17">
        <f>D51/$D$99</f>
        <v>7.3</v>
      </c>
    </row>
    <row r="52" spans="1:6" s="13" customFormat="1" ht="31.5">
      <c r="A52" s="9">
        <v>6</v>
      </c>
      <c r="B52" s="11" t="s">
        <v>19</v>
      </c>
      <c r="C52" s="18"/>
      <c r="D52" s="12">
        <f>SUM(D54:D56)</f>
        <v>246690.125</v>
      </c>
      <c r="E52" s="12">
        <f>SUM(E54:E56)</f>
        <v>2960281.5</v>
      </c>
      <c r="F52" s="56"/>
    </row>
    <row r="53" spans="1:6" ht="15.75" outlineLevel="1">
      <c r="A53" s="9"/>
      <c r="B53" s="16" t="s">
        <v>2</v>
      </c>
      <c r="C53" s="14"/>
      <c r="D53" s="21"/>
      <c r="E53" s="17"/>
      <c r="F53" s="56"/>
    </row>
    <row r="54" spans="1:6" ht="48" customHeight="1" outlineLevel="1">
      <c r="A54" s="19" t="s">
        <v>33</v>
      </c>
      <c r="B54" s="22" t="s">
        <v>12</v>
      </c>
      <c r="C54" s="43" t="s">
        <v>211</v>
      </c>
      <c r="D54" s="21">
        <f aca="true" t="shared" si="3" ref="D54:D59">E54/$E$12</f>
        <v>145761.79166666666</v>
      </c>
      <c r="E54" s="17">
        <f>940*1077.29+630*1169.03</f>
        <v>1749141.5</v>
      </c>
      <c r="F54" s="56"/>
    </row>
    <row r="55" spans="1:6" ht="15.75" outlineLevel="1">
      <c r="A55" s="19" t="s">
        <v>34</v>
      </c>
      <c r="B55" s="22" t="s">
        <v>14</v>
      </c>
      <c r="C55" s="43" t="s">
        <v>212</v>
      </c>
      <c r="D55" s="21">
        <f t="shared" si="3"/>
        <v>70087.5</v>
      </c>
      <c r="E55" s="17">
        <f>135000*2.99+135000*3.24</f>
        <v>841050</v>
      </c>
      <c r="F55" s="56"/>
    </row>
    <row r="56" spans="1:6" ht="30" outlineLevel="1">
      <c r="A56" s="19" t="s">
        <v>35</v>
      </c>
      <c r="B56" s="16" t="s">
        <v>13</v>
      </c>
      <c r="C56" s="43" t="s">
        <v>214</v>
      </c>
      <c r="D56" s="21">
        <f t="shared" si="3"/>
        <v>30840.833333333332</v>
      </c>
      <c r="E56" s="17">
        <f>SUM(E57:E59)</f>
        <v>370090</v>
      </c>
      <c r="F56" s="56"/>
    </row>
    <row r="57" spans="1:6" ht="15.75" outlineLevel="1">
      <c r="A57" s="19"/>
      <c r="B57" s="75" t="s">
        <v>88</v>
      </c>
      <c r="C57" s="43" t="s">
        <v>213</v>
      </c>
      <c r="D57" s="21">
        <f t="shared" si="3"/>
        <v>10637.5</v>
      </c>
      <c r="E57" s="17">
        <f>5000*12.1+5000*13.43</f>
        <v>127650</v>
      </c>
      <c r="F57" s="56"/>
    </row>
    <row r="58" spans="1:6" ht="15.75" outlineLevel="1">
      <c r="A58" s="19"/>
      <c r="B58" s="75" t="s">
        <v>89</v>
      </c>
      <c r="C58" s="76">
        <v>7000</v>
      </c>
      <c r="D58" s="21">
        <f t="shared" si="3"/>
        <v>7446.25</v>
      </c>
      <c r="E58" s="17">
        <f>3500*12.1+3500*13.43</f>
        <v>89355</v>
      </c>
      <c r="F58" s="56"/>
    </row>
    <row r="59" spans="1:6" ht="15.75" outlineLevel="1">
      <c r="A59" s="19"/>
      <c r="B59" s="75" t="s">
        <v>119</v>
      </c>
      <c r="C59" s="76">
        <v>17000</v>
      </c>
      <c r="D59" s="21">
        <f t="shared" si="3"/>
        <v>12757.083333333334</v>
      </c>
      <c r="E59" s="17">
        <f>8500*8.53+8500*9.48</f>
        <v>153085</v>
      </c>
      <c r="F59" s="56"/>
    </row>
    <row r="60" spans="1:6" s="13" customFormat="1" ht="99.75" customHeight="1">
      <c r="A60" s="9">
        <v>7</v>
      </c>
      <c r="B60" s="11" t="s">
        <v>43</v>
      </c>
      <c r="C60" s="18"/>
      <c r="D60" s="42">
        <f>SUM(D62:D65)</f>
        <v>103226.93609999999</v>
      </c>
      <c r="E60" s="42">
        <f>SUM(E62:E65)</f>
        <v>1238723.2332</v>
      </c>
      <c r="F60" s="56"/>
    </row>
    <row r="61" spans="1:7" ht="15.75">
      <c r="A61" s="15"/>
      <c r="B61" s="16" t="s">
        <v>2</v>
      </c>
      <c r="C61" s="18"/>
      <c r="D61" s="21"/>
      <c r="E61" s="17"/>
      <c r="F61" s="56"/>
      <c r="G61" s="13"/>
    </row>
    <row r="62" spans="1:7" ht="45">
      <c r="A62" s="19" t="s">
        <v>36</v>
      </c>
      <c r="B62" s="16" t="s">
        <v>113</v>
      </c>
      <c r="C62" s="43" t="s">
        <v>215</v>
      </c>
      <c r="D62" s="21">
        <f>E62/$E$12</f>
        <v>92118.93609999999</v>
      </c>
      <c r="E62" s="21">
        <f>626*365*4*(100+20+0.2)%+626*91*(100+20+0.2)%*0.1</f>
        <v>1105427.2332</v>
      </c>
      <c r="F62" s="12">
        <f>D62/$D$100</f>
        <v>12.1630030368248</v>
      </c>
      <c r="G62" s="13"/>
    </row>
    <row r="63" spans="1:6" ht="15.75">
      <c r="A63" s="19" t="s">
        <v>37</v>
      </c>
      <c r="B63" s="16" t="s">
        <v>78</v>
      </c>
      <c r="C63" s="18" t="s">
        <v>141</v>
      </c>
      <c r="D63" s="21">
        <f>22*120</f>
        <v>2640</v>
      </c>
      <c r="E63" s="17">
        <f>D63*$E$12</f>
        <v>31680</v>
      </c>
      <c r="F63" s="56"/>
    </row>
    <row r="64" spans="1:6" ht="15.75">
      <c r="A64" s="19" t="s">
        <v>38</v>
      </c>
      <c r="B64" s="16" t="s">
        <v>44</v>
      </c>
      <c r="C64" s="18" t="s">
        <v>178</v>
      </c>
      <c r="D64" s="21">
        <f>60*100</f>
        <v>6000</v>
      </c>
      <c r="E64" s="17">
        <f>D64*$E$12</f>
        <v>72000</v>
      </c>
      <c r="F64" s="56"/>
    </row>
    <row r="65" spans="1:6" ht="45">
      <c r="A65" s="19" t="s">
        <v>39</v>
      </c>
      <c r="B65" s="16" t="s">
        <v>216</v>
      </c>
      <c r="C65" s="18" t="s">
        <v>96</v>
      </c>
      <c r="D65" s="21">
        <f>E65/$E$12</f>
        <v>2468</v>
      </c>
      <c r="E65" s="21">
        <f>E96</f>
        <v>29616</v>
      </c>
      <c r="F65" s="56"/>
    </row>
    <row r="66" spans="1:6" s="13" customFormat="1" ht="15.75">
      <c r="A66" s="9">
        <v>8</v>
      </c>
      <c r="B66" s="23" t="s">
        <v>15</v>
      </c>
      <c r="C66" s="18"/>
      <c r="D66" s="42">
        <f>SUM(D68:D69)</f>
        <v>5503.45</v>
      </c>
      <c r="E66" s="42">
        <f>SUM(E68:E69)</f>
        <v>66041.4</v>
      </c>
      <c r="F66" s="60"/>
    </row>
    <row r="67" spans="1:6" ht="15.75">
      <c r="A67" s="15"/>
      <c r="B67" s="16" t="s">
        <v>2</v>
      </c>
      <c r="C67" s="18"/>
      <c r="D67" s="21"/>
      <c r="E67" s="17"/>
      <c r="F67" s="60"/>
    </row>
    <row r="68" spans="1:6" ht="15.75">
      <c r="A68" s="19" t="s">
        <v>145</v>
      </c>
      <c r="B68" s="16" t="s">
        <v>181</v>
      </c>
      <c r="C68" s="22" t="s">
        <v>130</v>
      </c>
      <c r="D68" s="21">
        <f>E68/$E$12</f>
        <v>1992.5999999999997</v>
      </c>
      <c r="E68" s="21">
        <f>E95</f>
        <v>23911.199999999997</v>
      </c>
      <c r="F68" s="56"/>
    </row>
    <row r="69" spans="1:6" ht="15.75">
      <c r="A69" s="19" t="s">
        <v>219</v>
      </c>
      <c r="B69" s="16" t="s">
        <v>193</v>
      </c>
      <c r="C69" s="18" t="s">
        <v>218</v>
      </c>
      <c r="D69" s="21">
        <f>E69/$E$12</f>
        <v>3510.85</v>
      </c>
      <c r="E69" s="21">
        <v>42130.2</v>
      </c>
      <c r="F69" s="56"/>
    </row>
    <row r="70" spans="1:6" s="13" customFormat="1" ht="15.75">
      <c r="A70" s="9"/>
      <c r="B70" s="23" t="s">
        <v>16</v>
      </c>
      <c r="C70" s="18"/>
      <c r="D70" s="42">
        <f>D66+D31+D52+D21+D46+D45+D60+D14</f>
        <v>596822.8518999999</v>
      </c>
      <c r="E70" s="42">
        <f>E66+E31+E52+E21+E46+E45+E60+E14</f>
        <v>7098712.4328</v>
      </c>
      <c r="F70" s="39"/>
    </row>
    <row r="71" spans="3:6" ht="15">
      <c r="C71" s="2" t="s">
        <v>128</v>
      </c>
      <c r="F71" s="4"/>
    </row>
    <row r="72" spans="1:5" s="6" customFormat="1" ht="18">
      <c r="A72" s="24"/>
      <c r="B72" s="7" t="s">
        <v>194</v>
      </c>
      <c r="D72" s="64"/>
      <c r="E72" s="38"/>
    </row>
    <row r="73" spans="1:7" ht="15.75">
      <c r="A73" s="10" t="s">
        <v>0</v>
      </c>
      <c r="B73" s="10" t="s">
        <v>1</v>
      </c>
      <c r="C73" s="10"/>
      <c r="D73" s="66" t="s">
        <v>20</v>
      </c>
      <c r="E73" s="10" t="s">
        <v>21</v>
      </c>
      <c r="F73" s="115" t="s">
        <v>54</v>
      </c>
      <c r="G73" s="116"/>
    </row>
    <row r="74" spans="1:7" ht="15.75">
      <c r="A74" s="10"/>
      <c r="B74" s="10"/>
      <c r="C74" s="10"/>
      <c r="D74" s="66"/>
      <c r="E74" s="10"/>
      <c r="F74" s="28" t="s">
        <v>217</v>
      </c>
      <c r="G74" s="28" t="s">
        <v>167</v>
      </c>
    </row>
    <row r="75" spans="1:10" ht="63">
      <c r="A75" s="10">
        <v>1</v>
      </c>
      <c r="B75" s="11" t="s">
        <v>61</v>
      </c>
      <c r="C75" s="11"/>
      <c r="D75" s="67">
        <f>SUM(D76:D77)</f>
        <v>170367.39399999997</v>
      </c>
      <c r="E75" s="67">
        <f>SUM(E76:E77)</f>
        <v>2042654.308</v>
      </c>
      <c r="F75" s="35"/>
      <c r="G75" s="72"/>
      <c r="J75" s="25"/>
    </row>
    <row r="76" spans="1:10" ht="15">
      <c r="A76" s="19"/>
      <c r="B76" s="29" t="s">
        <v>52</v>
      </c>
      <c r="C76" s="18" t="s">
        <v>134</v>
      </c>
      <c r="D76" s="68">
        <f>$D$99*F76+90.13</f>
        <v>142680.03399999999</v>
      </c>
      <c r="E76" s="36">
        <f>D76*$E$12-1754.42</f>
        <v>1710405.988</v>
      </c>
      <c r="F76" s="32">
        <f>ROUND(H76/$E$12/$D$99,2)</f>
        <v>16.48</v>
      </c>
      <c r="G76" s="73">
        <f>F76</f>
        <v>16.48</v>
      </c>
      <c r="H76" s="77">
        <f>E70-E66-E60-E52-E46-E45</f>
        <v>1710585.3095999996</v>
      </c>
      <c r="I76" s="25">
        <f>E14+E21+E31</f>
        <v>1710585.3096</v>
      </c>
      <c r="J76" s="25"/>
    </row>
    <row r="77" spans="1:10" ht="15">
      <c r="A77" s="19"/>
      <c r="B77" s="29" t="s">
        <v>169</v>
      </c>
      <c r="C77" s="18" t="s">
        <v>168</v>
      </c>
      <c r="D77" s="68">
        <f>D45</f>
        <v>27687.36</v>
      </c>
      <c r="E77" s="68">
        <f>E45</f>
        <v>332248.32</v>
      </c>
      <c r="F77" s="68">
        <f>F45</f>
        <v>3.2</v>
      </c>
      <c r="G77" s="73">
        <f>F77</f>
        <v>3.2</v>
      </c>
      <c r="H77" s="102">
        <f>E45</f>
        <v>332248.32</v>
      </c>
      <c r="I77" s="25"/>
      <c r="J77" s="25"/>
    </row>
    <row r="78" spans="1:7" ht="33" customHeight="1">
      <c r="A78" s="10">
        <v>2</v>
      </c>
      <c r="B78" s="11" t="s">
        <v>64</v>
      </c>
      <c r="C78" s="11"/>
      <c r="D78" s="69">
        <f>SUM(D79:D82)</f>
        <v>163920.7261</v>
      </c>
      <c r="E78" s="69">
        <f>SUM(E79:E82)</f>
        <v>1903886.9232</v>
      </c>
      <c r="F78" s="33"/>
      <c r="G78" s="33"/>
    </row>
    <row r="79" spans="1:7" ht="15">
      <c r="A79" s="19"/>
      <c r="B79" s="29" t="s">
        <v>189</v>
      </c>
      <c r="C79" s="18" t="s">
        <v>56</v>
      </c>
      <c r="D79" s="68">
        <f>D49+D51</f>
        <v>63161.78999999999</v>
      </c>
      <c r="E79" s="68">
        <f>E49+E51</f>
        <v>694779.69</v>
      </c>
      <c r="F79" s="31">
        <f>D79/8652.3</f>
        <v>7.3</v>
      </c>
      <c r="G79" s="73">
        <f>F79</f>
        <v>7.3</v>
      </c>
    </row>
    <row r="80" spans="1:8" ht="15">
      <c r="A80" s="19"/>
      <c r="B80" s="29" t="s">
        <v>53</v>
      </c>
      <c r="C80" s="18" t="s">
        <v>174</v>
      </c>
      <c r="D80" s="68">
        <f>$D$100*F80</f>
        <v>92118.9361</v>
      </c>
      <c r="E80" s="36">
        <f>D80*$E$12</f>
        <v>1105427.2332000001</v>
      </c>
      <c r="F80" s="31">
        <f>H80/D100/12</f>
        <v>12.163003036824803</v>
      </c>
      <c r="G80" s="73">
        <f>F80</f>
        <v>12.163003036824803</v>
      </c>
      <c r="H80" s="78">
        <f>E62</f>
        <v>1105427.2332</v>
      </c>
    </row>
    <row r="81" spans="1:7" ht="15">
      <c r="A81" s="30"/>
      <c r="B81" s="16" t="s">
        <v>48</v>
      </c>
      <c r="C81" s="16" t="s">
        <v>132</v>
      </c>
      <c r="D81" s="68">
        <f>D63</f>
        <v>2640</v>
      </c>
      <c r="E81" s="36">
        <f>D81*$E$12</f>
        <v>31680</v>
      </c>
      <c r="F81" s="34" t="s">
        <v>142</v>
      </c>
      <c r="G81" s="34" t="str">
        <f>F81</f>
        <v>22 с кв.</v>
      </c>
    </row>
    <row r="82" spans="1:7" ht="15">
      <c r="A82" s="30"/>
      <c r="B82" s="16" t="s">
        <v>47</v>
      </c>
      <c r="C82" s="16" t="s">
        <v>133</v>
      </c>
      <c r="D82" s="68">
        <f>D64</f>
        <v>6000</v>
      </c>
      <c r="E82" s="36">
        <f>D82*$E$12</f>
        <v>72000</v>
      </c>
      <c r="F82" s="34" t="s">
        <v>179</v>
      </c>
      <c r="G82" s="34" t="str">
        <f>F82</f>
        <v>65 с кв.</v>
      </c>
    </row>
    <row r="83" spans="1:9" ht="31.5">
      <c r="A83" s="10">
        <v>3</v>
      </c>
      <c r="B83" s="11" t="s">
        <v>6</v>
      </c>
      <c r="C83" s="11"/>
      <c r="D83" s="69">
        <f>SUM(D85:D89)</f>
        <v>246687.605</v>
      </c>
      <c r="E83" s="37">
        <f>SUM(E85:E89)+30.2</f>
        <v>2960281.5</v>
      </c>
      <c r="F83" s="33"/>
      <c r="G83" s="33"/>
      <c r="H83" s="20">
        <f>E83-E52</f>
        <v>0</v>
      </c>
      <c r="I83" s="20"/>
    </row>
    <row r="84" spans="1:7" ht="15.75">
      <c r="A84" s="10"/>
      <c r="B84" s="16" t="s">
        <v>2</v>
      </c>
      <c r="C84" s="16"/>
      <c r="D84" s="63"/>
      <c r="E84" s="36"/>
      <c r="F84" s="34"/>
      <c r="G84" s="34"/>
    </row>
    <row r="85" spans="1:8" ht="15">
      <c r="A85" s="19" t="s">
        <v>27</v>
      </c>
      <c r="B85" s="22" t="s">
        <v>3</v>
      </c>
      <c r="C85" s="22" t="s">
        <v>57</v>
      </c>
      <c r="D85" s="68">
        <f>F85*D99</f>
        <v>111692.60499999998</v>
      </c>
      <c r="E85" s="36">
        <f>D85*$E$12+0.04</f>
        <v>1340311.2999999998</v>
      </c>
      <c r="F85" s="63">
        <f>(940-3500*0.052)/12/$D$99*1077.29+(630-3500*0.052)/12/$D$99*1169.03</f>
        <v>12.909007431549991</v>
      </c>
      <c r="G85" s="63">
        <f>(1625-8350*0.052)/12/$D$99*1033.84*1.12</f>
        <v>13.279978277837492</v>
      </c>
      <c r="H85" s="2">
        <v>12.91</v>
      </c>
    </row>
    <row r="86" spans="1:8" ht="15">
      <c r="A86" s="19" t="s">
        <v>28</v>
      </c>
      <c r="B86" s="22" t="s">
        <v>4</v>
      </c>
      <c r="C86" s="22" t="s">
        <v>115</v>
      </c>
      <c r="D86" s="68">
        <f>D55</f>
        <v>70087.5</v>
      </c>
      <c r="E86" s="68">
        <f>E55</f>
        <v>841050</v>
      </c>
      <c r="F86" s="34">
        <v>2.99</v>
      </c>
      <c r="G86" s="34">
        <f>ROUND(F86*1.12,2)</f>
        <v>3.35</v>
      </c>
      <c r="H86" s="2">
        <v>2.99</v>
      </c>
    </row>
    <row r="87" spans="1:8" ht="15">
      <c r="A87" s="19" t="s">
        <v>29</v>
      </c>
      <c r="B87" s="22" t="s">
        <v>117</v>
      </c>
      <c r="C87" s="22" t="s">
        <v>118</v>
      </c>
      <c r="D87" s="68">
        <f>D57</f>
        <v>10637.5</v>
      </c>
      <c r="E87" s="36">
        <f>D87*$E$12</f>
        <v>127650</v>
      </c>
      <c r="F87" s="34">
        <v>12.77</v>
      </c>
      <c r="G87" s="34">
        <f>ROUND(F87*1.12,2)</f>
        <v>14.3</v>
      </c>
      <c r="H87" s="2">
        <v>12.1</v>
      </c>
    </row>
    <row r="88" spans="1:8" ht="15">
      <c r="A88" s="19" t="s">
        <v>75</v>
      </c>
      <c r="B88" s="22" t="s">
        <v>116</v>
      </c>
      <c r="C88" s="22" t="s">
        <v>131</v>
      </c>
      <c r="D88" s="68">
        <f>D58+(F88-F87)*C58/12</f>
        <v>41512.91666666667</v>
      </c>
      <c r="E88" s="36">
        <f>D88*$E$12</f>
        <v>498155.00000000006</v>
      </c>
      <c r="F88" s="34">
        <v>71.17</v>
      </c>
      <c r="G88" s="34">
        <f>ROUND(F88*1.12,2)</f>
        <v>79.71</v>
      </c>
      <c r="H88" s="2">
        <v>68.12</v>
      </c>
    </row>
    <row r="89" spans="1:8" ht="15">
      <c r="A89" s="19" t="s">
        <v>110</v>
      </c>
      <c r="B89" s="22" t="s">
        <v>140</v>
      </c>
      <c r="C89" s="22" t="s">
        <v>118</v>
      </c>
      <c r="D89" s="68">
        <f>D59</f>
        <v>12757.083333333334</v>
      </c>
      <c r="E89" s="36">
        <f>D89*$E$12</f>
        <v>153085</v>
      </c>
      <c r="F89" s="34">
        <v>8.53</v>
      </c>
      <c r="G89" s="34">
        <f>ROUND(F89*1.12,2)</f>
        <v>9.55</v>
      </c>
      <c r="H89" s="2">
        <v>8.53</v>
      </c>
    </row>
    <row r="90" spans="1:7" s="13" customFormat="1" ht="15.75">
      <c r="A90" s="10">
        <v>4</v>
      </c>
      <c r="B90" s="23" t="s">
        <v>46</v>
      </c>
      <c r="C90" s="23"/>
      <c r="D90" s="69">
        <f>SUM(D91:D96)</f>
        <v>15975.865</v>
      </c>
      <c r="E90" s="37">
        <f>SUM(E91:E96)</f>
        <v>191710.38</v>
      </c>
      <c r="F90" s="33"/>
      <c r="G90" s="33"/>
    </row>
    <row r="91" spans="1:7" ht="15.75">
      <c r="A91" s="10"/>
      <c r="B91" s="22" t="s">
        <v>2</v>
      </c>
      <c r="C91" s="22"/>
      <c r="D91" s="63"/>
      <c r="E91" s="36"/>
      <c r="F91" s="34"/>
      <c r="G91" s="34"/>
    </row>
    <row r="92" spans="1:7" ht="15">
      <c r="A92" s="19" t="s">
        <v>40</v>
      </c>
      <c r="B92" s="22" t="s">
        <v>5</v>
      </c>
      <c r="C92" s="22"/>
      <c r="D92" s="63">
        <f>E92/$E$12</f>
        <v>0</v>
      </c>
      <c r="E92" s="36"/>
      <c r="F92" s="34"/>
      <c r="G92" s="34"/>
    </row>
    <row r="93" spans="1:7" ht="15">
      <c r="A93" s="19" t="s">
        <v>41</v>
      </c>
      <c r="B93" s="22" t="s">
        <v>164</v>
      </c>
      <c r="C93" s="22"/>
      <c r="D93" s="63">
        <f>E93/$E$12</f>
        <v>8004.415</v>
      </c>
      <c r="E93" s="36">
        <v>96052.98</v>
      </c>
      <c r="F93" s="34"/>
      <c r="G93" s="34"/>
    </row>
    <row r="94" spans="1:6" ht="15.75">
      <c r="A94" s="19" t="s">
        <v>129</v>
      </c>
      <c r="B94" s="16" t="s">
        <v>193</v>
      </c>
      <c r="C94" s="18" t="s">
        <v>218</v>
      </c>
      <c r="D94" s="21">
        <f>E94/$E$12</f>
        <v>3510.85</v>
      </c>
      <c r="E94" s="21">
        <v>42130.2</v>
      </c>
      <c r="F94" s="110"/>
    </row>
    <row r="95" spans="1:7" ht="15">
      <c r="A95" s="19" t="s">
        <v>163</v>
      </c>
      <c r="B95" s="22" t="s">
        <v>130</v>
      </c>
      <c r="C95" s="22"/>
      <c r="D95" s="63">
        <v>1992.6</v>
      </c>
      <c r="E95" s="36">
        <f>D95*$E$12</f>
        <v>23911.199999999997</v>
      </c>
      <c r="F95" s="34"/>
      <c r="G95" s="34"/>
    </row>
    <row r="96" spans="1:7" ht="15">
      <c r="A96" s="19" t="s">
        <v>177</v>
      </c>
      <c r="B96" s="22" t="s">
        <v>58</v>
      </c>
      <c r="C96" s="22"/>
      <c r="D96" s="63">
        <v>2468</v>
      </c>
      <c r="E96" s="36">
        <f>D96*$E$12</f>
        <v>29616</v>
      </c>
      <c r="F96" s="34"/>
      <c r="G96" s="34"/>
    </row>
    <row r="97" spans="1:9" ht="15.75">
      <c r="A97" s="30"/>
      <c r="B97" s="23" t="s">
        <v>45</v>
      </c>
      <c r="C97" s="23"/>
      <c r="D97" s="69">
        <f>D75+D78+D83+D90</f>
        <v>596951.5900999999</v>
      </c>
      <c r="E97" s="37">
        <f>E75+E78+E83+E90+179.32</f>
        <v>7098712.4312</v>
      </c>
      <c r="F97" s="33"/>
      <c r="G97" s="34"/>
      <c r="H97" s="74">
        <f>E97-E70</f>
        <v>-0.0015999991446733475</v>
      </c>
      <c r="I97" s="20"/>
    </row>
    <row r="98" ht="15">
      <c r="A98" s="26"/>
    </row>
    <row r="99" spans="1:4" s="13" customFormat="1" ht="15.75">
      <c r="A99" s="44"/>
      <c r="B99" s="103" t="s">
        <v>50</v>
      </c>
      <c r="C99" s="56" t="s">
        <v>73</v>
      </c>
      <c r="D99" s="70">
        <v>8652.3</v>
      </c>
    </row>
    <row r="100" spans="1:5" ht="15">
      <c r="A100" s="45"/>
      <c r="B100" s="104" t="s">
        <v>175</v>
      </c>
      <c r="C100" s="26">
        <v>120</v>
      </c>
      <c r="D100" s="71">
        <v>7573.7</v>
      </c>
      <c r="E100" s="2"/>
    </row>
    <row r="101" spans="1:5" ht="15">
      <c r="A101" s="45"/>
      <c r="B101" s="104" t="s">
        <v>176</v>
      </c>
      <c r="C101" s="26">
        <v>2</v>
      </c>
      <c r="D101" s="71">
        <f>136+127.8</f>
        <v>263.8</v>
      </c>
      <c r="E101" s="2"/>
    </row>
    <row r="102" spans="1:5" ht="15">
      <c r="A102" s="45"/>
      <c r="B102" s="104" t="s">
        <v>51</v>
      </c>
      <c r="C102" s="26">
        <v>7</v>
      </c>
      <c r="D102" s="71">
        <f>D99-D100-D101</f>
        <v>814.7999999999995</v>
      </c>
      <c r="E102" s="2"/>
    </row>
    <row r="103" spans="1:3" ht="15">
      <c r="A103" s="45"/>
      <c r="B103" s="45"/>
      <c r="C103" s="45"/>
    </row>
    <row r="105" ht="15.75">
      <c r="B105" s="13"/>
    </row>
  </sheetData>
  <sheetProtection/>
  <mergeCells count="1">
    <mergeCell ref="F73:G73"/>
  </mergeCells>
  <printOptions horizontalCentered="1"/>
  <pageMargins left="0.3937007874015748" right="0.3937007874015748" top="0.5905511811023623" bottom="0.1968503937007874" header="0.5118110236220472" footer="0.5118110236220472"/>
  <pageSetup fitToHeight="0" fitToWidth="1" horizontalDpi="600" verticalDpi="600" orientation="portrait" paperSize="9" scale="62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75" zoomScaleNormal="75" zoomScaleSheetLayoutView="75" zoomScalePageLayoutView="0" workbookViewId="0" topLeftCell="A1">
      <pane xSplit="5" ySplit="3" topLeftCell="F1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8" sqref="E8"/>
    </sheetView>
  </sheetViews>
  <sheetFormatPr defaultColWidth="9.00390625" defaultRowHeight="15.75"/>
  <cols>
    <col min="1" max="1" width="10.875" style="3" customWidth="1"/>
    <col min="2" max="2" width="61.75390625" style="2" customWidth="1"/>
    <col min="3" max="3" width="47.00390625" style="2" customWidth="1"/>
    <col min="4" max="4" width="15.25390625" style="2" customWidth="1"/>
    <col min="5" max="5" width="16.375" style="2" customWidth="1"/>
    <col min="6" max="6" width="15.75390625" style="4" bestFit="1" customWidth="1"/>
    <col min="7" max="7" width="11.00390625" style="2" bestFit="1" customWidth="1"/>
    <col min="8" max="8" width="15.00390625" style="2" customWidth="1"/>
    <col min="9" max="9" width="15.25390625" style="2" customWidth="1"/>
    <col min="10" max="11" width="12.625" style="2" customWidth="1"/>
    <col min="12" max="12" width="11.375" style="2" customWidth="1" collapsed="1"/>
    <col min="13" max="16384" width="9.00390625" style="2" customWidth="1"/>
  </cols>
  <sheetData>
    <row r="1" spans="1:6" ht="18">
      <c r="A1" s="117" t="s">
        <v>197</v>
      </c>
      <c r="B1" s="117"/>
      <c r="C1" s="117"/>
      <c r="D1" s="117"/>
      <c r="E1" s="117"/>
      <c r="F1" s="117"/>
    </row>
    <row r="2" spans="4:6" ht="15">
      <c r="D2" s="2" t="s">
        <v>50</v>
      </c>
      <c r="F2" s="26">
        <f>Бюджет!D99</f>
        <v>8652.3</v>
      </c>
    </row>
    <row r="3" spans="1:7" ht="31.5">
      <c r="A3" s="9" t="s">
        <v>72</v>
      </c>
      <c r="B3" s="10" t="s">
        <v>1</v>
      </c>
      <c r="C3" s="10" t="s">
        <v>55</v>
      </c>
      <c r="D3" s="10" t="s">
        <v>21</v>
      </c>
      <c r="E3" s="10" t="s">
        <v>20</v>
      </c>
      <c r="F3" s="10" t="s">
        <v>70</v>
      </c>
      <c r="G3" s="5"/>
    </row>
    <row r="4" spans="1:7" s="13" customFormat="1" ht="63">
      <c r="A4" s="9">
        <v>1</v>
      </c>
      <c r="B4" s="11" t="s">
        <v>17</v>
      </c>
      <c r="C4" s="12"/>
      <c r="D4" s="12">
        <f>SUM(D6:D10)</f>
        <v>350018.88</v>
      </c>
      <c r="E4" s="12">
        <f>SUM(E6:E10)</f>
        <v>29168.239999999998</v>
      </c>
      <c r="F4" s="12">
        <f>ROUND(E4/$F$2,2)</f>
        <v>3.37</v>
      </c>
      <c r="G4" s="5"/>
    </row>
    <row r="5" spans="1:7" ht="15.75">
      <c r="A5" s="15"/>
      <c r="B5" s="16" t="s">
        <v>2</v>
      </c>
      <c r="C5" s="17"/>
      <c r="D5" s="17"/>
      <c r="E5" s="17"/>
      <c r="F5" s="17"/>
      <c r="G5" s="5"/>
    </row>
    <row r="6" spans="1:7" ht="15">
      <c r="A6" s="19" t="s">
        <v>30</v>
      </c>
      <c r="B6" s="16" t="s">
        <v>68</v>
      </c>
      <c r="C6" s="17" t="str">
        <f>Бюджет!C16</f>
        <v>208раз*2,4м3*200руб/12мес=8320 руб/мес</v>
      </c>
      <c r="D6" s="17">
        <f>Бюджет!E16</f>
        <v>99840</v>
      </c>
      <c r="E6" s="17">
        <f>Бюджет!D16</f>
        <v>8320</v>
      </c>
      <c r="F6" s="17">
        <f>E6/$F$2</f>
        <v>0.9615940270217168</v>
      </c>
      <c r="G6" s="5"/>
    </row>
    <row r="7" spans="1:7" ht="30">
      <c r="A7" s="19" t="s">
        <v>31</v>
      </c>
      <c r="B7" s="16" t="s">
        <v>7</v>
      </c>
      <c r="C7" s="17" t="str">
        <f>Бюджет!C17</f>
        <v>7310 руб/мес (6360 руб/мес без НДФЛ) + 20% отч + 0,2% НС.</v>
      </c>
      <c r="D7" s="17">
        <f>Бюджет!E17</f>
        <v>105439.43999999999</v>
      </c>
      <c r="E7" s="17">
        <f>Бюджет!D17</f>
        <v>8786.619999999999</v>
      </c>
      <c r="F7" s="17">
        <f>E7/$F$2</f>
        <v>1.0155241958785526</v>
      </c>
      <c r="G7" s="5"/>
    </row>
    <row r="8" spans="1:7" s="41" customFormat="1" ht="30">
      <c r="A8" s="19" t="s">
        <v>32</v>
      </c>
      <c r="B8" s="16" t="s">
        <v>8</v>
      </c>
      <c r="C8" s="17" t="str">
        <f>Бюджет!C18</f>
        <v>7310 руб/мес (6360 руб/мес без НДФЛ) + 20% отч + 0,2% НС.</v>
      </c>
      <c r="D8" s="17">
        <f>Бюджет!E18</f>
        <v>105439.44</v>
      </c>
      <c r="E8" s="17">
        <f>Бюджет!D18</f>
        <v>8786.62</v>
      </c>
      <c r="F8" s="17">
        <f>E8/$F$2</f>
        <v>1.0155241958785528</v>
      </c>
      <c r="G8" s="40"/>
    </row>
    <row r="9" spans="1:7" s="41" customFormat="1" ht="30">
      <c r="A9" s="19" t="s">
        <v>66</v>
      </c>
      <c r="B9" s="16" t="s">
        <v>67</v>
      </c>
      <c r="C9" s="17" t="str">
        <f>Бюджет!C19</f>
        <v>по факту (4мес*2раза*3часа*1200руб+вывоз снега 4мес*1раз*1500руб)</v>
      </c>
      <c r="D9" s="17">
        <f>Бюджет!E19</f>
        <v>34800</v>
      </c>
      <c r="E9" s="17">
        <f>Бюджет!D19</f>
        <v>2900</v>
      </c>
      <c r="F9" s="17">
        <f>E9/$F$2</f>
        <v>0.33517099499555036</v>
      </c>
      <c r="G9" s="40"/>
    </row>
    <row r="10" spans="1:7" s="41" customFormat="1" ht="30">
      <c r="A10" s="19" t="s">
        <v>76</v>
      </c>
      <c r="B10" s="16" t="s">
        <v>77</v>
      </c>
      <c r="C10" s="17" t="str">
        <f>Бюджет!C20</f>
        <v>1500 руб в полугодие дератизация +1500 руб дезинсекция</v>
      </c>
      <c r="D10" s="17">
        <f>Бюджет!E20</f>
        <v>4500</v>
      </c>
      <c r="E10" s="17">
        <f>Бюджет!D20</f>
        <v>375</v>
      </c>
      <c r="F10" s="17">
        <f>E10/$F$2</f>
        <v>0.043341076939079785</v>
      </c>
      <c r="G10" s="40"/>
    </row>
    <row r="11" spans="1:7" s="13" customFormat="1" ht="47.25">
      <c r="A11" s="9">
        <v>2</v>
      </c>
      <c r="B11" s="11" t="s">
        <v>42</v>
      </c>
      <c r="C11" s="12"/>
      <c r="D11" s="12">
        <f>SUM(D13:D20)</f>
        <v>481704.544</v>
      </c>
      <c r="E11" s="12">
        <f>SUM(E13:E20)</f>
        <v>40142.04533333333</v>
      </c>
      <c r="F11" s="12">
        <f>ROUND(E11/$F$2,2)-0.01</f>
        <v>4.63</v>
      </c>
      <c r="G11" s="5"/>
    </row>
    <row r="12" spans="1:7" ht="15.75">
      <c r="A12" s="15"/>
      <c r="B12" s="16" t="s">
        <v>2</v>
      </c>
      <c r="C12" s="17"/>
      <c r="D12" s="17"/>
      <c r="E12" s="17"/>
      <c r="F12" s="17"/>
      <c r="G12" s="5"/>
    </row>
    <row r="13" spans="1:7" ht="15">
      <c r="A13" s="19" t="s">
        <v>22</v>
      </c>
      <c r="B13" s="16" t="s">
        <v>9</v>
      </c>
      <c r="C13" s="17" t="str">
        <f>Бюджет!C23</f>
        <v>обслуживание 13086,20 руб/мес</v>
      </c>
      <c r="D13" s="17">
        <f>Бюджет!E23</f>
        <v>157034.40000000002</v>
      </c>
      <c r="E13" s="17">
        <f>Бюджет!D23</f>
        <v>13086.2</v>
      </c>
      <c r="F13" s="17">
        <f aca="true" t="shared" si="0" ref="F13:F20">E13/$F$2</f>
        <v>1.5124533361071624</v>
      </c>
      <c r="G13" s="5"/>
    </row>
    <row r="14" spans="1:7" ht="15">
      <c r="A14" s="19" t="s">
        <v>23</v>
      </c>
      <c r="B14" s="16" t="s">
        <v>138</v>
      </c>
      <c r="C14" s="17"/>
      <c r="D14" s="17">
        <f>Бюджет!E24</f>
        <v>3500</v>
      </c>
      <c r="E14" s="17">
        <f>Бюджет!D24</f>
        <v>291.6666666666667</v>
      </c>
      <c r="F14" s="17">
        <f t="shared" si="0"/>
        <v>0.033709726508173166</v>
      </c>
      <c r="G14" s="5"/>
    </row>
    <row r="15" spans="1:7" ht="15">
      <c r="A15" s="19" t="s">
        <v>24</v>
      </c>
      <c r="B15" s="16" t="s">
        <v>139</v>
      </c>
      <c r="C15" s="17" t="str">
        <f>Бюджет!C25</f>
        <v>по факту</v>
      </c>
      <c r="D15" s="17">
        <f>Бюджет!E25</f>
        <v>13500</v>
      </c>
      <c r="E15" s="17">
        <f>Бюджет!D25</f>
        <v>1125</v>
      </c>
      <c r="F15" s="17">
        <f t="shared" si="0"/>
        <v>0.13002323081723935</v>
      </c>
      <c r="G15" s="5"/>
    </row>
    <row r="16" spans="1:7" ht="30">
      <c r="A16" s="19" t="s">
        <v>25</v>
      </c>
      <c r="B16" s="16" t="s">
        <v>59</v>
      </c>
      <c r="C16" s="17" t="str">
        <f>Бюджет!C26</f>
        <v>8828 руб/мес (7680 руб/мес без НДФЛ) + 20% отч + 0,2% НС</v>
      </c>
      <c r="D16" s="17">
        <f>Бюджет!E26</f>
        <v>127335.07199999999</v>
      </c>
      <c r="E16" s="17">
        <f>Бюджет!D26</f>
        <v>10611.256</v>
      </c>
      <c r="F16" s="21">
        <f t="shared" si="0"/>
        <v>1.2264087005767252</v>
      </c>
      <c r="G16" s="5"/>
    </row>
    <row r="17" spans="1:7" ht="30">
      <c r="A17" s="19" t="s">
        <v>26</v>
      </c>
      <c r="B17" s="16" t="s">
        <v>10</v>
      </c>
      <c r="C17" s="17" t="str">
        <f>Бюджет!C27</f>
        <v>8828 руб/мес (7680 руб/мес без НДФЛ) + 20% отч + 0,2% НС</v>
      </c>
      <c r="D17" s="17">
        <f>Бюджет!E27</f>
        <v>127335.07199999999</v>
      </c>
      <c r="E17" s="17">
        <f>Бюджет!D27</f>
        <v>10611.256</v>
      </c>
      <c r="F17" s="21">
        <f t="shared" si="0"/>
        <v>1.2264087005767252</v>
      </c>
      <c r="G17" s="5"/>
    </row>
    <row r="18" spans="1:7" ht="15">
      <c r="A18" s="19" t="s">
        <v>69</v>
      </c>
      <c r="B18" s="16" t="s">
        <v>60</v>
      </c>
      <c r="C18" s="17" t="str">
        <f>Бюджет!C28</f>
        <v>по факту</v>
      </c>
      <c r="D18" s="17">
        <f>Бюджет!E28</f>
        <v>18000</v>
      </c>
      <c r="E18" s="17">
        <f>Бюджет!D28</f>
        <v>1500</v>
      </c>
      <c r="F18" s="17">
        <f t="shared" si="0"/>
        <v>0.17336430775631914</v>
      </c>
      <c r="G18" s="5"/>
    </row>
    <row r="19" spans="1:7" ht="15">
      <c r="A19" s="19" t="s">
        <v>108</v>
      </c>
      <c r="B19" s="16" t="s">
        <v>65</v>
      </c>
      <c r="C19" s="17" t="str">
        <f>Бюджет!C29</f>
        <v>по факту</v>
      </c>
      <c r="D19" s="17">
        <f>Бюджет!E29</f>
        <v>18000</v>
      </c>
      <c r="E19" s="17">
        <f>Бюджет!D29</f>
        <v>1500</v>
      </c>
      <c r="F19" s="17">
        <f t="shared" si="0"/>
        <v>0.17336430775631914</v>
      </c>
      <c r="G19" s="5"/>
    </row>
    <row r="20" spans="1:7" ht="15">
      <c r="A20" s="19" t="s">
        <v>144</v>
      </c>
      <c r="B20" s="16" t="s">
        <v>124</v>
      </c>
      <c r="C20" s="17" t="str">
        <f>Бюджет!C30</f>
        <v>по факту</v>
      </c>
      <c r="D20" s="17">
        <f>Бюджет!E30</f>
        <v>17000</v>
      </c>
      <c r="E20" s="17">
        <f>Бюджет!D30</f>
        <v>1416.6666666666667</v>
      </c>
      <c r="F20" s="21">
        <f t="shared" si="0"/>
        <v>0.16373295732541254</v>
      </c>
      <c r="G20" s="5"/>
    </row>
    <row r="21" spans="1:7" s="13" customFormat="1" ht="15.75">
      <c r="A21" s="9">
        <v>3</v>
      </c>
      <c r="B21" s="11" t="s">
        <v>74</v>
      </c>
      <c r="C21" s="12"/>
      <c r="D21" s="12">
        <f>SUM(D23:D34)</f>
        <v>878861.8856</v>
      </c>
      <c r="E21" s="12">
        <f>SUM(E23:E34)</f>
        <v>73238.49046666664</v>
      </c>
      <c r="F21" s="12">
        <f>ROUND(E21/$F$2,2)</f>
        <v>8.46</v>
      </c>
      <c r="G21" s="5"/>
    </row>
    <row r="22" spans="1:7" ht="15.75">
      <c r="A22" s="15"/>
      <c r="B22" s="16" t="s">
        <v>2</v>
      </c>
      <c r="C22" s="17"/>
      <c r="D22" s="17"/>
      <c r="E22" s="17"/>
      <c r="F22" s="17"/>
      <c r="G22" s="5"/>
    </row>
    <row r="23" spans="1:7" s="13" customFormat="1" ht="45">
      <c r="A23" s="19" t="s">
        <v>27</v>
      </c>
      <c r="B23" s="16" t="s">
        <v>155</v>
      </c>
      <c r="C23" s="43" t="str">
        <f>Бюджет!C33</f>
        <v>18104 руб/мес (15750 зп без НДФЛ) + 20% отч + 0,2% НС + 1000 руб ГСМ + 500 руб сот.связь</v>
      </c>
      <c r="D23" s="17">
        <f>Бюджет!E33</f>
        <v>279132.09599999996</v>
      </c>
      <c r="E23" s="17">
        <f>Бюджет!D33</f>
        <v>23261.007999999998</v>
      </c>
      <c r="F23" s="21">
        <f aca="true" t="shared" si="1" ref="F23:F34">E23/$F$2</f>
        <v>2.6884190330894677</v>
      </c>
      <c r="G23" s="5"/>
    </row>
    <row r="24" spans="1:7" s="13" customFormat="1" ht="45">
      <c r="A24" s="19" t="s">
        <v>28</v>
      </c>
      <c r="B24" s="16" t="s">
        <v>146</v>
      </c>
      <c r="C24" s="43" t="str">
        <f>Бюджет!C34</f>
        <v>7469 руб (6500 руб без НДФЛ)</v>
      </c>
      <c r="D24" s="17">
        <f>Бюджет!E34</f>
        <v>89628</v>
      </c>
      <c r="E24" s="17">
        <f>Бюджет!D34</f>
        <v>7469</v>
      </c>
      <c r="F24" s="21">
        <f t="shared" si="1"/>
        <v>0.8632386764212985</v>
      </c>
      <c r="G24" s="5"/>
    </row>
    <row r="25" spans="1:7" s="13" customFormat="1" ht="15.75">
      <c r="A25" s="19" t="s">
        <v>29</v>
      </c>
      <c r="B25" s="16" t="s">
        <v>202</v>
      </c>
      <c r="C25" s="43" t="s">
        <v>185</v>
      </c>
      <c r="D25" s="17">
        <f>Бюджет!E35</f>
        <v>2500</v>
      </c>
      <c r="E25" s="17">
        <f>Бюджет!D35</f>
        <v>208.33333333333334</v>
      </c>
      <c r="F25" s="21">
        <f>E25/$F$2</f>
        <v>0.02407837607726655</v>
      </c>
      <c r="G25" s="5"/>
    </row>
    <row r="26" spans="1:7" s="13" customFormat="1" ht="15.75">
      <c r="A26" s="19" t="s">
        <v>75</v>
      </c>
      <c r="B26" s="16" t="s">
        <v>135</v>
      </c>
      <c r="C26" s="43" t="str">
        <f>Бюджет!C36</f>
        <v>1000 руб/мес</v>
      </c>
      <c r="D26" s="17">
        <f>Бюджет!E36</f>
        <v>12000</v>
      </c>
      <c r="E26" s="17">
        <f>Бюджет!D36</f>
        <v>1000</v>
      </c>
      <c r="F26" s="21">
        <f t="shared" si="1"/>
        <v>0.11557620517087942</v>
      </c>
      <c r="G26" s="5"/>
    </row>
    <row r="27" spans="1:7" s="13" customFormat="1" ht="15.75">
      <c r="A27" s="19" t="s">
        <v>110</v>
      </c>
      <c r="B27" s="16" t="s">
        <v>166</v>
      </c>
      <c r="C27" s="43" t="str">
        <f>Бюджет!C37</f>
        <v>1 раз в год</v>
      </c>
      <c r="D27" s="17">
        <f>Бюджет!E37</f>
        <v>20000</v>
      </c>
      <c r="E27" s="17">
        <f>Бюджет!D37</f>
        <v>1666.6666666666667</v>
      </c>
      <c r="F27" s="21">
        <f t="shared" si="1"/>
        <v>0.1926270086181324</v>
      </c>
      <c r="G27" s="5"/>
    </row>
    <row r="28" spans="1:7" s="13" customFormat="1" ht="15.75">
      <c r="A28" s="19" t="s">
        <v>123</v>
      </c>
      <c r="B28" s="16" t="s">
        <v>147</v>
      </c>
      <c r="C28" s="43" t="str">
        <f>Бюджет!C38</f>
        <v>разовые услуги</v>
      </c>
      <c r="D28" s="17">
        <f>Бюджет!E38</f>
        <v>20000</v>
      </c>
      <c r="E28" s="17">
        <f>Бюджет!D38</f>
        <v>1666.6666666666667</v>
      </c>
      <c r="F28" s="21">
        <f t="shared" si="1"/>
        <v>0.1926270086181324</v>
      </c>
      <c r="G28" s="5"/>
    </row>
    <row r="29" spans="1:7" s="13" customFormat="1" ht="30">
      <c r="A29" s="19" t="s">
        <v>126</v>
      </c>
      <c r="B29" s="16" t="s">
        <v>154</v>
      </c>
      <c r="C29" s="43" t="str">
        <f>Бюджет!C39</f>
        <v>12920 зп (11240 зп без НДФЛ) + 20% отч + 0,2% НС.</v>
      </c>
      <c r="D29" s="17">
        <f>Бюджет!E39</f>
        <v>186358.08000000002</v>
      </c>
      <c r="E29" s="17">
        <f>Бюджет!D39</f>
        <v>15529.84</v>
      </c>
      <c r="F29" s="21">
        <f t="shared" si="1"/>
        <v>1.7948799741109303</v>
      </c>
      <c r="G29" s="5"/>
    </row>
    <row r="30" spans="1:7" s="13" customFormat="1" ht="15.75">
      <c r="A30" s="19" t="s">
        <v>127</v>
      </c>
      <c r="B30" s="16" t="s">
        <v>63</v>
      </c>
      <c r="C30" s="43" t="str">
        <f>Бюджет!C40</f>
        <v>4470,74 руб/мес</v>
      </c>
      <c r="D30" s="17">
        <f>Бюджет!E40</f>
        <v>53648.88</v>
      </c>
      <c r="E30" s="17">
        <f>Бюджет!D40</f>
        <v>4470.74</v>
      </c>
      <c r="F30" s="21">
        <f t="shared" si="1"/>
        <v>0.5167111635056575</v>
      </c>
      <c r="G30" s="5"/>
    </row>
    <row r="31" spans="1:7" s="13" customFormat="1" ht="15.75">
      <c r="A31" s="19" t="s">
        <v>136</v>
      </c>
      <c r="B31" s="22" t="s">
        <v>101</v>
      </c>
      <c r="C31" s="43" t="str">
        <f>Бюджет!C41</f>
        <v>1,9% + 1090 руб </v>
      </c>
      <c r="D31" s="17">
        <f>Бюджет!E41</f>
        <v>133236</v>
      </c>
      <c r="E31" s="17">
        <f>Бюджет!D41</f>
        <v>11103</v>
      </c>
      <c r="F31" s="21">
        <f t="shared" si="1"/>
        <v>1.2832426060122744</v>
      </c>
      <c r="G31" s="5"/>
    </row>
    <row r="32" spans="1:7" s="13" customFormat="1" ht="30">
      <c r="A32" s="19" t="s">
        <v>137</v>
      </c>
      <c r="B32" s="22" t="s">
        <v>226</v>
      </c>
      <c r="C32" s="109">
        <v>0.02</v>
      </c>
      <c r="D32" s="17">
        <f>Бюджет!E42</f>
        <v>15158.829600000001</v>
      </c>
      <c r="E32" s="17">
        <f>Бюджет!D42</f>
        <v>1263.2358000000002</v>
      </c>
      <c r="F32" s="21">
        <f t="shared" si="1"/>
        <v>0.14600000000000002</v>
      </c>
      <c r="G32" s="5"/>
    </row>
    <row r="33" spans="1:7" s="13" customFormat="1" ht="15.75">
      <c r="A33" s="19" t="s">
        <v>148</v>
      </c>
      <c r="B33" s="16" t="s">
        <v>109</v>
      </c>
      <c r="C33" s="43" t="str">
        <f>Бюджет!C43</f>
        <v>по факту</v>
      </c>
      <c r="D33" s="17">
        <f>Бюджет!E43</f>
        <v>4800</v>
      </c>
      <c r="E33" s="17">
        <f>Бюджет!D43</f>
        <v>400</v>
      </c>
      <c r="F33" s="21">
        <f t="shared" si="1"/>
        <v>0.04623048206835177</v>
      </c>
      <c r="G33" s="5"/>
    </row>
    <row r="34" spans="1:7" s="13" customFormat="1" ht="15.75">
      <c r="A34" s="19" t="s">
        <v>225</v>
      </c>
      <c r="B34" s="22" t="s">
        <v>100</v>
      </c>
      <c r="C34" s="43" t="str">
        <f>Бюджет!C44</f>
        <v>за 2015 год 1% от дохода </v>
      </c>
      <c r="D34" s="17">
        <f>Бюджет!E44</f>
        <v>62400</v>
      </c>
      <c r="E34" s="17">
        <f>Бюджет!D44</f>
        <v>5200</v>
      </c>
      <c r="F34" s="21">
        <f t="shared" si="1"/>
        <v>0.600996266888573</v>
      </c>
      <c r="G34" s="5"/>
    </row>
    <row r="35" spans="1:7" s="13" customFormat="1" ht="15.75">
      <c r="A35" s="9"/>
      <c r="B35" s="23" t="s">
        <v>71</v>
      </c>
      <c r="C35" s="12"/>
      <c r="D35" s="12">
        <f>D21+D11+D4</f>
        <v>1710585.3095999998</v>
      </c>
      <c r="E35" s="12">
        <f>E21+E11+E4</f>
        <v>142548.77579999997</v>
      </c>
      <c r="F35" s="12">
        <f>F21+F11+F4</f>
        <v>16.46</v>
      </c>
      <c r="G35" s="39"/>
    </row>
    <row r="36" ht="15">
      <c r="G36" s="4"/>
    </row>
    <row r="37" spans="1:6" ht="15">
      <c r="A37" s="48"/>
      <c r="F37" s="49"/>
    </row>
  </sheetData>
  <sheetProtection/>
  <mergeCells count="1">
    <mergeCell ref="A1:F1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SheetLayoutView="75" zoomScalePageLayoutView="0" workbookViewId="0" topLeftCell="A52">
      <selection activeCell="O45" sqref="O45"/>
    </sheetView>
  </sheetViews>
  <sheetFormatPr defaultColWidth="9.00390625" defaultRowHeight="15.75"/>
  <cols>
    <col min="1" max="1" width="25.125" style="81" customWidth="1"/>
    <col min="2" max="2" width="6.00390625" style="79" customWidth="1"/>
    <col min="3" max="3" width="8.375" style="79" bestFit="1" customWidth="1"/>
    <col min="4" max="4" width="8.50390625" style="81" customWidth="1"/>
    <col min="5" max="5" width="8.25390625" style="79" customWidth="1"/>
    <col min="6" max="7" width="8.375" style="81" customWidth="1"/>
    <col min="8" max="8" width="7.625" style="81" customWidth="1"/>
    <col min="9" max="9" width="9.25390625" style="79" customWidth="1"/>
    <col min="10" max="10" width="8.00390625" style="81" customWidth="1"/>
    <col min="11" max="11" width="6.875" style="81" customWidth="1"/>
    <col min="12" max="12" width="7.00390625" style="81" customWidth="1"/>
    <col min="13" max="16384" width="9.00390625" style="81" customWidth="1"/>
  </cols>
  <sheetData>
    <row r="1" s="54" customFormat="1" ht="15.75">
      <c r="D1" s="50" t="s">
        <v>79</v>
      </c>
    </row>
    <row r="2" s="54" customFormat="1" ht="15.75">
      <c r="D2" s="50" t="s">
        <v>198</v>
      </c>
    </row>
    <row r="4" spans="1:9" ht="15.75" customHeight="1">
      <c r="A4" s="55" t="s">
        <v>80</v>
      </c>
      <c r="B4" s="125" t="s">
        <v>82</v>
      </c>
      <c r="C4" s="118" t="s">
        <v>199</v>
      </c>
      <c r="D4" s="119"/>
      <c r="E4" s="118" t="s">
        <v>200</v>
      </c>
      <c r="F4" s="119"/>
      <c r="G4" s="123" t="s">
        <v>149</v>
      </c>
      <c r="H4" s="123"/>
      <c r="I4" s="81"/>
    </row>
    <row r="5" spans="1:9" ht="15.75">
      <c r="A5" s="55" t="s">
        <v>81</v>
      </c>
      <c r="B5" s="125"/>
      <c r="C5" s="80" t="s">
        <v>83</v>
      </c>
      <c r="D5" s="80" t="s">
        <v>84</v>
      </c>
      <c r="E5" s="80" t="s">
        <v>83</v>
      </c>
      <c r="F5" s="80" t="s">
        <v>84</v>
      </c>
      <c r="G5" s="82" t="s">
        <v>103</v>
      </c>
      <c r="H5" s="61" t="s">
        <v>102</v>
      </c>
      <c r="I5" s="81"/>
    </row>
    <row r="6" spans="1:10" ht="15.75">
      <c r="A6" s="83" t="s">
        <v>85</v>
      </c>
      <c r="B6" s="84">
        <v>53</v>
      </c>
      <c r="C6" s="85">
        <v>15.4</v>
      </c>
      <c r="D6" s="86">
        <f>$B6*C6</f>
        <v>816.2</v>
      </c>
      <c r="E6" s="85">
        <f>Бюджет!F76</f>
        <v>16.48</v>
      </c>
      <c r="F6" s="86">
        <f aca="true" t="shared" si="0" ref="F6:F16">$B6*E6</f>
        <v>873.44</v>
      </c>
      <c r="G6" s="87">
        <f aca="true" t="shared" si="1" ref="G6:G16">(F6-D6)</f>
        <v>57.24000000000001</v>
      </c>
      <c r="H6" s="88">
        <f>E6/C6-1</f>
        <v>0.07012987012987004</v>
      </c>
      <c r="I6" s="81"/>
      <c r="J6" s="89"/>
    </row>
    <row r="7" spans="1:9" ht="15.75">
      <c r="A7" s="83" t="s">
        <v>125</v>
      </c>
      <c r="B7" s="84">
        <v>53</v>
      </c>
      <c r="C7" s="85">
        <v>3.2</v>
      </c>
      <c r="D7" s="86">
        <f>$B7*C7</f>
        <v>169.60000000000002</v>
      </c>
      <c r="E7" s="85">
        <f>Бюджет!F45</f>
        <v>3.2</v>
      </c>
      <c r="F7" s="86">
        <f>$B7*E7</f>
        <v>169.60000000000002</v>
      </c>
      <c r="G7" s="87">
        <f t="shared" si="1"/>
        <v>0</v>
      </c>
      <c r="H7" s="88">
        <f>E7/C7-1</f>
        <v>0</v>
      </c>
      <c r="I7" s="81"/>
    </row>
    <row r="8" spans="1:9" ht="15.75">
      <c r="A8" s="83" t="s">
        <v>86</v>
      </c>
      <c r="B8" s="84">
        <v>53</v>
      </c>
      <c r="C8" s="85">
        <v>11.24</v>
      </c>
      <c r="D8" s="86">
        <f aca="true" t="shared" si="2" ref="D8:D16">$B8*C8</f>
        <v>595.72</v>
      </c>
      <c r="E8" s="85">
        <f>Бюджет!F80</f>
        <v>12.163003036824803</v>
      </c>
      <c r="F8" s="86">
        <f t="shared" si="0"/>
        <v>644.6391609517145</v>
      </c>
      <c r="G8" s="87">
        <f t="shared" si="1"/>
        <v>48.9191609517145</v>
      </c>
      <c r="H8" s="88">
        <f aca="true" t="shared" si="3" ref="H8:H16">E8/C8-1</f>
        <v>0.08211770790256256</v>
      </c>
      <c r="I8" s="81"/>
    </row>
    <row r="9" spans="1:9" ht="15.75">
      <c r="A9" s="83" t="s">
        <v>87</v>
      </c>
      <c r="B9" s="84">
        <v>53</v>
      </c>
      <c r="C9" s="85">
        <v>12.4</v>
      </c>
      <c r="D9" s="86">
        <f t="shared" si="2"/>
        <v>657.2</v>
      </c>
      <c r="E9" s="85">
        <f>Бюджет!F85</f>
        <v>12.909007431549991</v>
      </c>
      <c r="F9" s="86">
        <f t="shared" si="0"/>
        <v>684.1773938721495</v>
      </c>
      <c r="G9" s="87">
        <f t="shared" si="1"/>
        <v>26.97739387214949</v>
      </c>
      <c r="H9" s="88">
        <f t="shared" si="3"/>
        <v>0.04104898641532184</v>
      </c>
      <c r="I9" s="81"/>
    </row>
    <row r="10" spans="1:9" ht="15.75">
      <c r="A10" s="83" t="s">
        <v>88</v>
      </c>
      <c r="B10" s="84">
        <v>8</v>
      </c>
      <c r="C10" s="85">
        <v>12.1</v>
      </c>
      <c r="D10" s="86">
        <f>$B10*C10</f>
        <v>96.8</v>
      </c>
      <c r="E10" s="85">
        <f>C10</f>
        <v>12.1</v>
      </c>
      <c r="F10" s="86">
        <f>$B10*E10</f>
        <v>96.8</v>
      </c>
      <c r="G10" s="87">
        <f t="shared" si="1"/>
        <v>0</v>
      </c>
      <c r="H10" s="88">
        <f t="shared" si="3"/>
        <v>0</v>
      </c>
      <c r="I10" s="81"/>
    </row>
    <row r="11" spans="1:9" ht="15.75">
      <c r="A11" s="83" t="s">
        <v>89</v>
      </c>
      <c r="B11" s="84">
        <v>5</v>
      </c>
      <c r="C11" s="85">
        <v>68.12</v>
      </c>
      <c r="D11" s="86">
        <f t="shared" si="2"/>
        <v>340.6</v>
      </c>
      <c r="E11" s="85">
        <f>C11</f>
        <v>68.12</v>
      </c>
      <c r="F11" s="86">
        <f t="shared" si="0"/>
        <v>340.6</v>
      </c>
      <c r="G11" s="87">
        <f t="shared" si="1"/>
        <v>0</v>
      </c>
      <c r="H11" s="88">
        <f t="shared" si="3"/>
        <v>0</v>
      </c>
      <c r="I11" s="81"/>
    </row>
    <row r="12" spans="1:9" ht="15.75">
      <c r="A12" s="83" t="s">
        <v>114</v>
      </c>
      <c r="B12" s="84">
        <f>B10+B11</f>
        <v>13</v>
      </c>
      <c r="C12" s="85">
        <v>7.78</v>
      </c>
      <c r="D12" s="86">
        <f t="shared" si="2"/>
        <v>101.14</v>
      </c>
      <c r="E12" s="85">
        <v>8.53</v>
      </c>
      <c r="F12" s="86">
        <f>$B12*E12</f>
        <v>110.88999999999999</v>
      </c>
      <c r="G12" s="87">
        <f t="shared" si="1"/>
        <v>9.749999999999986</v>
      </c>
      <c r="H12" s="88">
        <f t="shared" si="3"/>
        <v>0.09640102827763486</v>
      </c>
      <c r="I12" s="81"/>
    </row>
    <row r="13" spans="1:9" ht="15.75">
      <c r="A13" s="83" t="s">
        <v>90</v>
      </c>
      <c r="B13" s="84">
        <v>170</v>
      </c>
      <c r="C13" s="85">
        <v>2.99</v>
      </c>
      <c r="D13" s="86">
        <f t="shared" si="2"/>
        <v>508.3</v>
      </c>
      <c r="E13" s="85">
        <f>C13</f>
        <v>2.99</v>
      </c>
      <c r="F13" s="86">
        <f t="shared" si="0"/>
        <v>508.3</v>
      </c>
      <c r="G13" s="87">
        <f t="shared" si="1"/>
        <v>0</v>
      </c>
      <c r="H13" s="88">
        <f t="shared" si="3"/>
        <v>0</v>
      </c>
      <c r="I13" s="81"/>
    </row>
    <row r="14" spans="1:9" ht="15.75">
      <c r="A14" s="83" t="s">
        <v>91</v>
      </c>
      <c r="B14" s="84">
        <v>1</v>
      </c>
      <c r="C14" s="85">
        <v>65</v>
      </c>
      <c r="D14" s="86">
        <f t="shared" si="2"/>
        <v>65</v>
      </c>
      <c r="E14" s="85">
        <v>65</v>
      </c>
      <c r="F14" s="86">
        <f t="shared" si="0"/>
        <v>65</v>
      </c>
      <c r="G14" s="87">
        <f t="shared" si="1"/>
        <v>0</v>
      </c>
      <c r="H14" s="88">
        <f t="shared" si="3"/>
        <v>0</v>
      </c>
      <c r="I14" s="81"/>
    </row>
    <row r="15" spans="1:9" ht="15.75">
      <c r="A15" s="83" t="s">
        <v>92</v>
      </c>
      <c r="B15" s="84">
        <v>1</v>
      </c>
      <c r="C15" s="85">
        <v>22</v>
      </c>
      <c r="D15" s="86">
        <f t="shared" si="2"/>
        <v>22</v>
      </c>
      <c r="E15" s="85">
        <v>22</v>
      </c>
      <c r="F15" s="86">
        <f t="shared" si="0"/>
        <v>22</v>
      </c>
      <c r="G15" s="87">
        <f t="shared" si="1"/>
        <v>0</v>
      </c>
      <c r="H15" s="88">
        <f t="shared" si="3"/>
        <v>0</v>
      </c>
      <c r="I15" s="81"/>
    </row>
    <row r="16" spans="1:9" ht="15.75">
      <c r="A16" s="83" t="s">
        <v>93</v>
      </c>
      <c r="B16" s="84">
        <v>53</v>
      </c>
      <c r="C16" s="90">
        <v>0.3</v>
      </c>
      <c r="D16" s="86">
        <f t="shared" si="2"/>
        <v>15.899999999999999</v>
      </c>
      <c r="E16" s="90">
        <f>Бюджет!F79</f>
        <v>7.3</v>
      </c>
      <c r="F16" s="86">
        <f t="shared" si="0"/>
        <v>386.9</v>
      </c>
      <c r="G16" s="87">
        <f t="shared" si="1"/>
        <v>371</v>
      </c>
      <c r="H16" s="88">
        <f t="shared" si="3"/>
        <v>23.333333333333332</v>
      </c>
      <c r="I16" s="81"/>
    </row>
    <row r="17" spans="1:8" s="54" customFormat="1" ht="15.75">
      <c r="A17" s="91" t="s">
        <v>94</v>
      </c>
      <c r="B17" s="50"/>
      <c r="C17" s="52"/>
      <c r="D17" s="51">
        <f>SUM(D6:D16)</f>
        <v>3388.4600000000005</v>
      </c>
      <c r="E17" s="52"/>
      <c r="F17" s="51">
        <f>SUM(F6:F16)</f>
        <v>3902.346554823864</v>
      </c>
      <c r="G17" s="51">
        <f>F17-D17</f>
        <v>513.8865548238637</v>
      </c>
      <c r="H17" s="53">
        <f>1-D17/F17</f>
        <v>0.13168655002939855</v>
      </c>
    </row>
    <row r="18" spans="1:9" ht="15.75">
      <c r="A18" s="92"/>
      <c r="I18" s="81"/>
    </row>
    <row r="19" ht="15.75">
      <c r="I19" s="81"/>
    </row>
    <row r="20" spans="1:9" ht="15.75" customHeight="1">
      <c r="A20" s="55" t="s">
        <v>95</v>
      </c>
      <c r="B20" s="125" t="s">
        <v>82</v>
      </c>
      <c r="C20" s="118" t="str">
        <f>C4</f>
        <v>с 01.07.14 г.</v>
      </c>
      <c r="D20" s="119"/>
      <c r="E20" s="118" t="str">
        <f>E4</f>
        <v>с 01.01.15 г.</v>
      </c>
      <c r="F20" s="119"/>
      <c r="G20" s="123" t="str">
        <f>G4</f>
        <v>рост</v>
      </c>
      <c r="H20" s="123"/>
      <c r="I20" s="81"/>
    </row>
    <row r="21" spans="1:9" ht="15.75">
      <c r="A21" s="55" t="s">
        <v>81</v>
      </c>
      <c r="B21" s="125"/>
      <c r="C21" s="80" t="s">
        <v>83</v>
      </c>
      <c r="D21" s="80" t="s">
        <v>84</v>
      </c>
      <c r="E21" s="80" t="s">
        <v>83</v>
      </c>
      <c r="F21" s="80" t="s">
        <v>84</v>
      </c>
      <c r="G21" s="82" t="s">
        <v>103</v>
      </c>
      <c r="H21" s="61" t="s">
        <v>102</v>
      </c>
      <c r="I21" s="81"/>
    </row>
    <row r="22" spans="1:10" ht="15.75">
      <c r="A22" s="83" t="s">
        <v>85</v>
      </c>
      <c r="B22" s="84">
        <v>71</v>
      </c>
      <c r="C22" s="85">
        <f>C6</f>
        <v>15.4</v>
      </c>
      <c r="D22" s="86">
        <f>$B22*C22</f>
        <v>1093.4</v>
      </c>
      <c r="E22" s="85">
        <f>E6</f>
        <v>16.48</v>
      </c>
      <c r="F22" s="86">
        <f aca="true" t="shared" si="4" ref="F22:F32">$B22*E22</f>
        <v>1170.08</v>
      </c>
      <c r="G22" s="87">
        <f aca="true" t="shared" si="5" ref="G22:G32">(F22-D22)</f>
        <v>76.67999999999984</v>
      </c>
      <c r="H22" s="88">
        <f>E22/C22-1</f>
        <v>0.07012987012987004</v>
      </c>
      <c r="I22" s="81"/>
      <c r="J22" s="89"/>
    </row>
    <row r="23" spans="1:9" ht="15.75">
      <c r="A23" s="83" t="s">
        <v>125</v>
      </c>
      <c r="B23" s="84">
        <v>71</v>
      </c>
      <c r="C23" s="85">
        <v>3.2</v>
      </c>
      <c r="D23" s="86">
        <f>B23*C23</f>
        <v>227.20000000000002</v>
      </c>
      <c r="E23" s="85">
        <f>E7</f>
        <v>3.2</v>
      </c>
      <c r="F23" s="86">
        <f>$B23*E23</f>
        <v>227.20000000000002</v>
      </c>
      <c r="G23" s="87">
        <f t="shared" si="5"/>
        <v>0</v>
      </c>
      <c r="H23" s="88">
        <f>E23/C23-1</f>
        <v>0</v>
      </c>
      <c r="I23" s="81"/>
    </row>
    <row r="24" spans="1:9" ht="15.75">
      <c r="A24" s="83" t="s">
        <v>86</v>
      </c>
      <c r="B24" s="84">
        <f>$B$22</f>
        <v>71</v>
      </c>
      <c r="C24" s="85">
        <f aca="true" t="shared" si="6" ref="C24:C32">C8</f>
        <v>11.24</v>
      </c>
      <c r="D24" s="86">
        <f aca="true" t="shared" si="7" ref="D24:D31">$B24*C24</f>
        <v>798.04</v>
      </c>
      <c r="E24" s="85">
        <f>E8</f>
        <v>12.163003036824803</v>
      </c>
      <c r="F24" s="86">
        <f t="shared" si="4"/>
        <v>863.573215614561</v>
      </c>
      <c r="G24" s="87">
        <f t="shared" si="5"/>
        <v>65.53321561456107</v>
      </c>
      <c r="H24" s="88">
        <f aca="true" t="shared" si="8" ref="H24:H32">E24/C24-1</f>
        <v>0.08211770790256256</v>
      </c>
      <c r="I24" s="81"/>
    </row>
    <row r="25" spans="1:9" ht="15.75">
      <c r="A25" s="83" t="s">
        <v>87</v>
      </c>
      <c r="B25" s="84">
        <f>$B$22</f>
        <v>71</v>
      </c>
      <c r="C25" s="85">
        <f t="shared" si="6"/>
        <v>12.4</v>
      </c>
      <c r="D25" s="86">
        <f t="shared" si="7"/>
        <v>880.4</v>
      </c>
      <c r="E25" s="85">
        <f aca="true" t="shared" si="9" ref="E25:E32">E9</f>
        <v>12.909007431549991</v>
      </c>
      <c r="F25" s="86">
        <f t="shared" si="4"/>
        <v>916.5395276400494</v>
      </c>
      <c r="G25" s="87">
        <f t="shared" si="5"/>
        <v>36.13952764004944</v>
      </c>
      <c r="H25" s="88">
        <f t="shared" si="8"/>
        <v>0.04104898641532184</v>
      </c>
      <c r="I25" s="81"/>
    </row>
    <row r="26" spans="1:9" ht="15.75">
      <c r="A26" s="83" t="s">
        <v>88</v>
      </c>
      <c r="B26" s="84">
        <v>11</v>
      </c>
      <c r="C26" s="85">
        <f t="shared" si="6"/>
        <v>12.1</v>
      </c>
      <c r="D26" s="86">
        <f t="shared" si="7"/>
        <v>133.1</v>
      </c>
      <c r="E26" s="85">
        <f t="shared" si="9"/>
        <v>12.1</v>
      </c>
      <c r="F26" s="86">
        <f>$B26*E26</f>
        <v>133.1</v>
      </c>
      <c r="G26" s="87">
        <f t="shared" si="5"/>
        <v>0</v>
      </c>
      <c r="H26" s="88">
        <f t="shared" si="8"/>
        <v>0</v>
      </c>
      <c r="I26" s="81"/>
    </row>
    <row r="27" spans="1:9" ht="15.75">
      <c r="A27" s="83" t="s">
        <v>89</v>
      </c>
      <c r="B27" s="84">
        <v>8</v>
      </c>
      <c r="C27" s="85">
        <f t="shared" si="6"/>
        <v>68.12</v>
      </c>
      <c r="D27" s="86">
        <f t="shared" si="7"/>
        <v>544.96</v>
      </c>
      <c r="E27" s="85">
        <f t="shared" si="9"/>
        <v>68.12</v>
      </c>
      <c r="F27" s="86">
        <f t="shared" si="4"/>
        <v>544.96</v>
      </c>
      <c r="G27" s="87">
        <f t="shared" si="5"/>
        <v>0</v>
      </c>
      <c r="H27" s="88">
        <f t="shared" si="8"/>
        <v>0</v>
      </c>
      <c r="I27" s="81"/>
    </row>
    <row r="28" spans="1:9" ht="15.75">
      <c r="A28" s="83" t="s">
        <v>114</v>
      </c>
      <c r="B28" s="84">
        <f>B26+B27</f>
        <v>19</v>
      </c>
      <c r="C28" s="85">
        <f t="shared" si="6"/>
        <v>7.78</v>
      </c>
      <c r="D28" s="86">
        <f t="shared" si="7"/>
        <v>147.82</v>
      </c>
      <c r="E28" s="85">
        <f t="shared" si="9"/>
        <v>8.53</v>
      </c>
      <c r="F28" s="86">
        <f t="shared" si="4"/>
        <v>162.07</v>
      </c>
      <c r="G28" s="87">
        <f t="shared" si="5"/>
        <v>14.25</v>
      </c>
      <c r="H28" s="88">
        <f t="shared" si="8"/>
        <v>0.09640102827763486</v>
      </c>
      <c r="I28" s="81"/>
    </row>
    <row r="29" spans="1:9" ht="15.75">
      <c r="A29" s="83" t="s">
        <v>90</v>
      </c>
      <c r="B29" s="84">
        <v>200</v>
      </c>
      <c r="C29" s="85">
        <f t="shared" si="6"/>
        <v>2.99</v>
      </c>
      <c r="D29" s="86">
        <f t="shared" si="7"/>
        <v>598</v>
      </c>
      <c r="E29" s="85">
        <f t="shared" si="9"/>
        <v>2.99</v>
      </c>
      <c r="F29" s="86">
        <f t="shared" si="4"/>
        <v>598</v>
      </c>
      <c r="G29" s="87">
        <f t="shared" si="5"/>
        <v>0</v>
      </c>
      <c r="H29" s="88">
        <f t="shared" si="8"/>
        <v>0</v>
      </c>
      <c r="I29" s="81"/>
    </row>
    <row r="30" spans="1:9" ht="15.75">
      <c r="A30" s="83" t="s">
        <v>91</v>
      </c>
      <c r="B30" s="84">
        <v>1</v>
      </c>
      <c r="C30" s="85">
        <f t="shared" si="6"/>
        <v>65</v>
      </c>
      <c r="D30" s="86">
        <f t="shared" si="7"/>
        <v>65</v>
      </c>
      <c r="E30" s="85">
        <f t="shared" si="9"/>
        <v>65</v>
      </c>
      <c r="F30" s="86">
        <f t="shared" si="4"/>
        <v>65</v>
      </c>
      <c r="G30" s="87">
        <f t="shared" si="5"/>
        <v>0</v>
      </c>
      <c r="H30" s="88">
        <f t="shared" si="8"/>
        <v>0</v>
      </c>
      <c r="I30" s="81"/>
    </row>
    <row r="31" spans="1:9" ht="15.75">
      <c r="A31" s="83" t="s">
        <v>92</v>
      </c>
      <c r="B31" s="84">
        <v>1</v>
      </c>
      <c r="C31" s="85">
        <f t="shared" si="6"/>
        <v>22</v>
      </c>
      <c r="D31" s="86">
        <f t="shared" si="7"/>
        <v>22</v>
      </c>
      <c r="E31" s="85">
        <f t="shared" si="9"/>
        <v>22</v>
      </c>
      <c r="F31" s="86">
        <f t="shared" si="4"/>
        <v>22</v>
      </c>
      <c r="G31" s="87">
        <f t="shared" si="5"/>
        <v>0</v>
      </c>
      <c r="H31" s="88">
        <f t="shared" si="8"/>
        <v>0</v>
      </c>
      <c r="I31" s="81"/>
    </row>
    <row r="32" spans="1:9" ht="15.75">
      <c r="A32" s="83" t="s">
        <v>93</v>
      </c>
      <c r="B32" s="84">
        <f>$B$22</f>
        <v>71</v>
      </c>
      <c r="C32" s="85">
        <f t="shared" si="6"/>
        <v>0.3</v>
      </c>
      <c r="D32" s="86">
        <f>$B32*C32</f>
        <v>21.3</v>
      </c>
      <c r="E32" s="85">
        <f t="shared" si="9"/>
        <v>7.3</v>
      </c>
      <c r="F32" s="86">
        <f t="shared" si="4"/>
        <v>518.3</v>
      </c>
      <c r="G32" s="87">
        <f t="shared" si="5"/>
        <v>496.99999999999994</v>
      </c>
      <c r="H32" s="88">
        <f t="shared" si="8"/>
        <v>23.333333333333332</v>
      </c>
      <c r="I32" s="81"/>
    </row>
    <row r="33" spans="1:8" s="54" customFormat="1" ht="15.75">
      <c r="A33" s="91" t="s">
        <v>94</v>
      </c>
      <c r="B33" s="50"/>
      <c r="C33" s="52"/>
      <c r="D33" s="51">
        <f>SUM(D22:D32)</f>
        <v>4531.22</v>
      </c>
      <c r="E33" s="52"/>
      <c r="F33" s="51">
        <f>SUM(F22:F32)</f>
        <v>5220.822743254611</v>
      </c>
      <c r="G33" s="51">
        <f>F33-D33</f>
        <v>689.6027432546107</v>
      </c>
      <c r="H33" s="53">
        <f>1-D33/F33</f>
        <v>0.1320869865090878</v>
      </c>
    </row>
    <row r="34" spans="1:11" ht="15.75">
      <c r="A34" s="92"/>
      <c r="G34" s="93"/>
      <c r="K34" s="93"/>
    </row>
    <row r="36" spans="1:12" ht="15.75">
      <c r="A36" s="111" t="s">
        <v>143</v>
      </c>
      <c r="B36" s="112" t="s">
        <v>233</v>
      </c>
      <c r="C36" s="113"/>
      <c r="D36" s="114"/>
      <c r="E36" s="113"/>
      <c r="F36" s="114"/>
      <c r="G36" s="114"/>
      <c r="H36" s="114"/>
      <c r="I36" s="113"/>
      <c r="J36" s="114"/>
      <c r="K36" s="114"/>
      <c r="L36" s="114"/>
    </row>
    <row r="37" spans="1:12" ht="15.75">
      <c r="A37" s="121" t="s">
        <v>234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1:12" ht="15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1:12" ht="15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1:12" ht="15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1:12" ht="15.75">
      <c r="A41" s="114" t="s">
        <v>232</v>
      </c>
      <c r="B41" s="113"/>
      <c r="C41" s="113"/>
      <c r="D41" s="114"/>
      <c r="E41" s="113"/>
      <c r="F41" s="114"/>
      <c r="G41" s="114"/>
      <c r="H41" s="114"/>
      <c r="I41" s="113"/>
      <c r="J41" s="114"/>
      <c r="K41" s="114"/>
      <c r="L41" s="114"/>
    </row>
    <row r="42" spans="1:12" ht="15.75">
      <c r="A42" s="114" t="s">
        <v>231</v>
      </c>
      <c r="B42" s="113"/>
      <c r="C42" s="113"/>
      <c r="D42" s="114"/>
      <c r="E42" s="113"/>
      <c r="F42" s="114"/>
      <c r="G42" s="114"/>
      <c r="H42" s="114"/>
      <c r="I42" s="113"/>
      <c r="J42" s="114"/>
      <c r="K42" s="114"/>
      <c r="L42" s="114"/>
    </row>
    <row r="43" spans="1:12" ht="15.75">
      <c r="A43" s="124" t="s">
        <v>230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</row>
    <row r="44" spans="1:12" ht="15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:12" ht="15.75">
      <c r="A45" s="114" t="s">
        <v>120</v>
      </c>
      <c r="B45" s="113"/>
      <c r="C45" s="113"/>
      <c r="D45" s="114"/>
      <c r="E45" s="113"/>
      <c r="F45" s="114"/>
      <c r="G45" s="114"/>
      <c r="H45" s="114"/>
      <c r="I45" s="113"/>
      <c r="J45" s="114"/>
      <c r="K45" s="114"/>
      <c r="L45" s="114"/>
    </row>
    <row r="46" spans="1:12" ht="15.75">
      <c r="A46" s="114" t="s">
        <v>229</v>
      </c>
      <c r="B46" s="113"/>
      <c r="C46" s="113"/>
      <c r="D46" s="114"/>
      <c r="E46" s="113"/>
      <c r="F46" s="114"/>
      <c r="G46" s="114"/>
      <c r="H46" s="114"/>
      <c r="I46" s="113"/>
      <c r="J46" s="114"/>
      <c r="K46" s="114"/>
      <c r="L46" s="114"/>
    </row>
    <row r="47" spans="1:12" ht="15.75">
      <c r="A47" s="111" t="s">
        <v>228</v>
      </c>
      <c r="B47" s="113"/>
      <c r="C47" s="113"/>
      <c r="D47" s="114"/>
      <c r="E47" s="113"/>
      <c r="F47" s="114"/>
      <c r="G47" s="114"/>
      <c r="H47" s="114"/>
      <c r="I47" s="113"/>
      <c r="J47" s="114"/>
      <c r="K47" s="114"/>
      <c r="L47" s="114"/>
    </row>
    <row r="49" spans="1:12" ht="15.75" customHeight="1">
      <c r="A49" s="122" t="s">
        <v>121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ht="15.7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1:12" ht="15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1:12" ht="15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1:13" ht="15.75" customHeight="1">
      <c r="A53" s="120" t="s">
        <v>122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94"/>
    </row>
    <row r="54" spans="1:13" ht="15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94"/>
    </row>
    <row r="55" spans="1:12" ht="15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7" spans="1:9" ht="15.75">
      <c r="A57" s="81" t="s">
        <v>172</v>
      </c>
      <c r="C57" s="97" t="s">
        <v>171</v>
      </c>
      <c r="E57" s="97" t="s">
        <v>220</v>
      </c>
      <c r="F57" s="79"/>
      <c r="G57" s="79" t="s">
        <v>221</v>
      </c>
      <c r="I57" s="81"/>
    </row>
    <row r="58" spans="1:7" s="54" customFormat="1" ht="15.75">
      <c r="A58" s="54" t="s">
        <v>165</v>
      </c>
      <c r="B58" s="50"/>
      <c r="C58" s="98">
        <v>18.6</v>
      </c>
      <c r="E58" s="98">
        <f>E6+E7</f>
        <v>19.68</v>
      </c>
      <c r="F58" s="50"/>
      <c r="G58" s="108">
        <f>E58/C58-1</f>
        <v>0.05806451612903207</v>
      </c>
    </row>
    <row r="59" spans="1:7" s="54" customFormat="1" ht="15.75">
      <c r="A59" s="54" t="s">
        <v>151</v>
      </c>
      <c r="B59" s="50"/>
      <c r="C59" s="50">
        <f>SUM(C61:C65)</f>
        <v>20.659999999999997</v>
      </c>
      <c r="E59" s="50">
        <f>SUM(E61:E65)</f>
        <v>21.959999999999994</v>
      </c>
      <c r="F59" s="50"/>
      <c r="G59" s="100">
        <f>E59/C59-1</f>
        <v>0.06292352371732801</v>
      </c>
    </row>
    <row r="60" spans="1:9" ht="15.75">
      <c r="A60" s="96" t="s">
        <v>153</v>
      </c>
      <c r="F60" s="79"/>
      <c r="G60" s="79"/>
      <c r="I60" s="81"/>
    </row>
    <row r="61" spans="1:9" ht="15.75">
      <c r="A61" s="95" t="s">
        <v>52</v>
      </c>
      <c r="C61" s="97">
        <v>17.61</v>
      </c>
      <c r="E61" s="107">
        <v>18.63</v>
      </c>
      <c r="F61" s="79"/>
      <c r="G61" s="101">
        <f>E61/C61-1</f>
        <v>0.05792163543441231</v>
      </c>
      <c r="I61" s="81"/>
    </row>
    <row r="62" spans="1:9" ht="15.75">
      <c r="A62" s="95" t="s">
        <v>222</v>
      </c>
      <c r="C62" s="97">
        <f>0.65+0.16</f>
        <v>0.81</v>
      </c>
      <c r="E62" s="107">
        <f>0.7+0.22</f>
        <v>0.9199999999999999</v>
      </c>
      <c r="F62" s="79"/>
      <c r="G62" s="101">
        <f>E62/C62-1</f>
        <v>0.1358024691358024</v>
      </c>
      <c r="I62" s="81"/>
    </row>
    <row r="63" spans="1:9" ht="15.75">
      <c r="A63" s="95" t="s">
        <v>150</v>
      </c>
      <c r="C63" s="97">
        <v>2.13</v>
      </c>
      <c r="E63" s="107">
        <v>2.29</v>
      </c>
      <c r="F63" s="79"/>
      <c r="G63" s="101">
        <f>E63/C63-1</f>
        <v>0.07511737089201875</v>
      </c>
      <c r="I63" s="81"/>
    </row>
    <row r="64" spans="1:9" ht="15.75">
      <c r="A64" s="95" t="s">
        <v>182</v>
      </c>
      <c r="C64" s="97">
        <v>0.04</v>
      </c>
      <c r="E64" s="107">
        <v>0.04</v>
      </c>
      <c r="F64" s="79"/>
      <c r="G64" s="101">
        <f>E64/C64-1</f>
        <v>0</v>
      </c>
      <c r="I64" s="81"/>
    </row>
    <row r="65" spans="1:9" ht="15.75">
      <c r="A65" s="95" t="s">
        <v>152</v>
      </c>
      <c r="C65" s="97">
        <v>0.07</v>
      </c>
      <c r="E65" s="107">
        <v>0.08</v>
      </c>
      <c r="F65" s="79"/>
      <c r="G65" s="101">
        <f>E65/C65-1</f>
        <v>0.1428571428571428</v>
      </c>
      <c r="I65" s="81"/>
    </row>
    <row r="66" spans="6:9" ht="15.75">
      <c r="F66" s="79"/>
      <c r="I66" s="81"/>
    </row>
    <row r="67" spans="1:6" s="54" customFormat="1" ht="15.75">
      <c r="A67" s="54" t="s">
        <v>156</v>
      </c>
      <c r="B67" s="50"/>
      <c r="C67" s="50"/>
      <c r="E67" s="50"/>
      <c r="F67" s="50"/>
    </row>
    <row r="68" spans="1:6" s="54" customFormat="1" ht="15.75">
      <c r="A68" s="99" t="s">
        <v>157</v>
      </c>
      <c r="B68" s="50"/>
      <c r="C68" s="50">
        <f>C59-C58</f>
        <v>2.059999999999995</v>
      </c>
      <c r="E68" s="50">
        <f>E59-E58</f>
        <v>2.279999999999994</v>
      </c>
      <c r="F68" s="50"/>
    </row>
    <row r="69" spans="1:6" s="54" customFormat="1" ht="15.75">
      <c r="A69" s="99" t="s">
        <v>158</v>
      </c>
      <c r="B69" s="50"/>
      <c r="C69" s="52">
        <f>C68*8652</f>
        <v>17823.11999999996</v>
      </c>
      <c r="E69" s="52">
        <f>E68*8652</f>
        <v>19726.559999999947</v>
      </c>
      <c r="F69" s="50"/>
    </row>
    <row r="70" spans="1:6" s="54" customFormat="1" ht="15.75">
      <c r="A70" s="99" t="s">
        <v>159</v>
      </c>
      <c r="B70" s="50"/>
      <c r="C70" s="52">
        <f>C69*12</f>
        <v>213877.4399999995</v>
      </c>
      <c r="E70" s="52">
        <f>E69*12</f>
        <v>236718.71999999936</v>
      </c>
      <c r="F70" s="50"/>
    </row>
  </sheetData>
  <sheetProtection/>
  <mergeCells count="12">
    <mergeCell ref="B20:B21"/>
    <mergeCell ref="B4:B5"/>
    <mergeCell ref="C4:D4"/>
    <mergeCell ref="E4:F4"/>
    <mergeCell ref="A53:L55"/>
    <mergeCell ref="A37:L40"/>
    <mergeCell ref="A49:L52"/>
    <mergeCell ref="G4:H4"/>
    <mergeCell ref="G20:H20"/>
    <mergeCell ref="E20:F20"/>
    <mergeCell ref="A43:L44"/>
    <mergeCell ref="C20:D20"/>
  </mergeCells>
  <printOptions horizontalCentered="1"/>
  <pageMargins left="0.5905511811023623" right="0.1968503937007874" top="0.3937007874015748" bottom="0.3937007874015748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Самигуллина</dc:creator>
  <cp:keywords/>
  <dc:description/>
  <cp:lastModifiedBy>samsun</cp:lastModifiedBy>
  <cp:lastPrinted>2015-02-12T19:31:50Z</cp:lastPrinted>
  <dcterms:created xsi:type="dcterms:W3CDTF">2010-06-09T09:59:52Z</dcterms:created>
  <dcterms:modified xsi:type="dcterms:W3CDTF">2015-02-12T19:31:53Z</dcterms:modified>
  <cp:category/>
  <cp:version/>
  <cp:contentType/>
  <cp:contentStatus/>
</cp:coreProperties>
</file>